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SIGCE ITAL\SIGCE 2026\SIGCE 2026 ORGANIZADO\CARPETA 1 Gestion evaluacion\"/>
    </mc:Choice>
  </mc:AlternateContent>
  <xr:revisionPtr revIDLastSave="0" documentId="8_{1B652E24-BE5E-4FD1-8047-C7EDD484113D}" xr6:coauthVersionLast="47" xr6:coauthVersionMax="47" xr10:uidLastSave="{00000000-0000-0000-0000-000000000000}"/>
  <bookViews>
    <workbookView xWindow="-120" yWindow="-120" windowWidth="19440" windowHeight="1500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Docentes!$B$13:$C$61</definedName>
    <definedName name="_xlnm.Print_Area" localSheetId="1">Directivos!$A$1:$AU$25</definedName>
    <definedName name="_xlnm.Print_Area" localSheetId="0">Docentes!$A$1:$AR$61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62" i="1" l="1"/>
  <c r="AE62" i="1" s="1"/>
  <c r="AF62" i="1" s="1"/>
  <c r="Y62" i="1"/>
  <c r="Z62" i="1" s="1"/>
  <c r="T62" i="1"/>
  <c r="U62" i="1" s="1"/>
  <c r="S39" i="1"/>
  <c r="T39" i="1" s="1"/>
  <c r="U39" i="1" s="1"/>
  <c r="X39" i="1"/>
  <c r="Y39" i="1" s="1"/>
  <c r="Z39" i="1" s="1"/>
  <c r="AC39" i="1"/>
  <c r="AD39" i="1" s="1"/>
  <c r="AE39" i="1" s="1"/>
  <c r="AM39" i="1"/>
  <c r="S40" i="1"/>
  <c r="T40" i="1" s="1"/>
  <c r="U40" i="1" s="1"/>
  <c r="X40" i="1"/>
  <c r="Y40" i="1"/>
  <c r="Z40" i="1" s="1"/>
  <c r="AC40" i="1"/>
  <c r="AD40" i="1" s="1"/>
  <c r="AE40" i="1" s="1"/>
  <c r="AM40" i="1"/>
  <c r="S41" i="1"/>
  <c r="T41" i="1" s="1"/>
  <c r="U41" i="1" s="1"/>
  <c r="X41" i="1"/>
  <c r="Y41" i="1" s="1"/>
  <c r="Z41" i="1" s="1"/>
  <c r="AC41" i="1"/>
  <c r="AD41" i="1" s="1"/>
  <c r="AE41" i="1" s="1"/>
  <c r="AM41" i="1"/>
  <c r="S42" i="1"/>
  <c r="T42" i="1" s="1"/>
  <c r="U42" i="1" s="1"/>
  <c r="X42" i="1"/>
  <c r="Y42" i="1" s="1"/>
  <c r="Z42" i="1" s="1"/>
  <c r="AC42" i="1"/>
  <c r="AD42" i="1" s="1"/>
  <c r="AE42" i="1" s="1"/>
  <c r="AM42" i="1"/>
  <c r="S33" i="1"/>
  <c r="T33" i="1" s="1"/>
  <c r="U33" i="1" s="1"/>
  <c r="X33" i="1"/>
  <c r="Y33" i="1" s="1"/>
  <c r="Z33" i="1" s="1"/>
  <c r="AC33" i="1"/>
  <c r="AD33" i="1" s="1"/>
  <c r="AE33" i="1" s="1"/>
  <c r="AM33" i="1"/>
  <c r="S34" i="1"/>
  <c r="T34" i="1" s="1"/>
  <c r="U34" i="1" s="1"/>
  <c r="X34" i="1"/>
  <c r="Y34" i="1" s="1"/>
  <c r="Z34" i="1" s="1"/>
  <c r="AC34" i="1"/>
  <c r="AD34" i="1" s="1"/>
  <c r="AE34" i="1" s="1"/>
  <c r="AM34" i="1"/>
  <c r="S35" i="1"/>
  <c r="T35" i="1" s="1"/>
  <c r="U35" i="1" s="1"/>
  <c r="X35" i="1"/>
  <c r="Y35" i="1" s="1"/>
  <c r="Z35" i="1" s="1"/>
  <c r="AC35" i="1"/>
  <c r="AD35" i="1"/>
  <c r="AE35" i="1" s="1"/>
  <c r="AM35" i="1"/>
  <c r="S36" i="1"/>
  <c r="T36" i="1" s="1"/>
  <c r="U36" i="1" s="1"/>
  <c r="X36" i="1"/>
  <c r="Y36" i="1" s="1"/>
  <c r="Z36" i="1" s="1"/>
  <c r="AC36" i="1"/>
  <c r="AD36" i="1" s="1"/>
  <c r="AE36" i="1" s="1"/>
  <c r="AM36" i="1"/>
  <c r="S37" i="1"/>
  <c r="T37" i="1" s="1"/>
  <c r="U37" i="1" s="1"/>
  <c r="X37" i="1"/>
  <c r="Y37" i="1" s="1"/>
  <c r="Z37" i="1" s="1"/>
  <c r="AC37" i="1"/>
  <c r="AD37" i="1" s="1"/>
  <c r="AE37" i="1" s="1"/>
  <c r="AM37" i="1"/>
  <c r="S38" i="1"/>
  <c r="T38" i="1" s="1"/>
  <c r="U38" i="1" s="1"/>
  <c r="X38" i="1"/>
  <c r="Y38" i="1" s="1"/>
  <c r="Z38" i="1" s="1"/>
  <c r="AC38" i="1"/>
  <c r="AD38" i="1" s="1"/>
  <c r="AE38" i="1" s="1"/>
  <c r="AM38" i="1"/>
  <c r="AP41" i="1" l="1"/>
  <c r="AP40" i="1"/>
  <c r="AF41" i="1"/>
  <c r="AF40" i="1"/>
  <c r="AF42" i="1"/>
  <c r="AF39" i="1"/>
  <c r="AP42" i="1"/>
  <c r="AP39" i="1"/>
  <c r="AF36" i="1"/>
  <c r="AF38" i="1"/>
  <c r="AF34" i="1"/>
  <c r="AF37" i="1"/>
  <c r="AF35" i="1"/>
  <c r="AF33" i="1"/>
  <c r="AP38" i="1"/>
  <c r="AQ38" i="1" s="1"/>
  <c r="AR38" i="1" s="1"/>
  <c r="AP37" i="1"/>
  <c r="AP36" i="1"/>
  <c r="AQ36" i="1" s="1"/>
  <c r="AR36" i="1" s="1"/>
  <c r="AP35" i="1"/>
  <c r="AP34" i="1"/>
  <c r="AP33" i="1"/>
  <c r="AQ41" i="1" l="1"/>
  <c r="AR41" i="1" s="1"/>
  <c r="AQ40" i="1"/>
  <c r="AR40" i="1" s="1"/>
  <c r="AQ42" i="1"/>
  <c r="AR42" i="1" s="1"/>
  <c r="AQ39" i="1"/>
  <c r="AR39" i="1" s="1"/>
  <c r="AQ37" i="1"/>
  <c r="AR37" i="1" s="1"/>
  <c r="P5" i="1" l="1"/>
  <c r="J34" i="9" s="1"/>
  <c r="O4" i="1"/>
  <c r="I33" i="9" s="1"/>
  <c r="K43" i="14"/>
  <c r="I43" i="14"/>
  <c r="K40" i="14"/>
  <c r="I37" i="14"/>
  <c r="H34" i="14"/>
  <c r="J31" i="14"/>
  <c r="F18" i="14"/>
  <c r="F16" i="14"/>
  <c r="F19" i="14" s="1"/>
  <c r="F6" i="14"/>
  <c r="K24" i="9"/>
  <c r="K23" i="9"/>
  <c r="K22" i="9"/>
  <c r="K14" i="9"/>
  <c r="K13" i="9"/>
  <c r="F6" i="9"/>
  <c r="AU25" i="13"/>
  <c r="AT25" i="13"/>
  <c r="AS25" i="13"/>
  <c r="AR25" i="13"/>
  <c r="AQ25" i="13"/>
  <c r="AP25" i="13"/>
  <c r="AI25" i="13"/>
  <c r="AH25" i="13"/>
  <c r="AG25" i="13"/>
  <c r="AF25" i="13"/>
  <c r="AC25" i="13"/>
  <c r="AB25" i="13"/>
  <c r="AA25" i="13"/>
  <c r="X25" i="13"/>
  <c r="W25" i="13"/>
  <c r="V25" i="13"/>
  <c r="S25" i="13"/>
  <c r="R25" i="13"/>
  <c r="Q25" i="13"/>
  <c r="AU24" i="13"/>
  <c r="AT24" i="13"/>
  <c r="AS24" i="13"/>
  <c r="AR24" i="13"/>
  <c r="AQ24" i="13"/>
  <c r="AP24" i="13"/>
  <c r="AI24" i="13"/>
  <c r="AH24" i="13"/>
  <c r="AG24" i="13"/>
  <c r="AF24" i="13"/>
  <c r="AC24" i="13"/>
  <c r="AB24" i="13"/>
  <c r="AA24" i="13"/>
  <c r="X24" i="13"/>
  <c r="W24" i="13"/>
  <c r="V24" i="13"/>
  <c r="S24" i="13"/>
  <c r="R24" i="13"/>
  <c r="Q24" i="13"/>
  <c r="AU23" i="13"/>
  <c r="AT23" i="13"/>
  <c r="AS23" i="13"/>
  <c r="AR23" i="13"/>
  <c r="AQ23" i="13"/>
  <c r="AP23" i="13"/>
  <c r="AI23" i="13"/>
  <c r="AH23" i="13"/>
  <c r="AG23" i="13"/>
  <c r="AF23" i="13"/>
  <c r="AC23" i="13"/>
  <c r="AB23" i="13"/>
  <c r="AA23" i="13"/>
  <c r="X23" i="13"/>
  <c r="W23" i="13"/>
  <c r="V23" i="13"/>
  <c r="S23" i="13"/>
  <c r="R23" i="13"/>
  <c r="Q23" i="13"/>
  <c r="AU22" i="13"/>
  <c r="AT22" i="13"/>
  <c r="AS22" i="13"/>
  <c r="AR22" i="13"/>
  <c r="AQ22" i="13"/>
  <c r="AP22" i="13"/>
  <c r="AI22" i="13"/>
  <c r="AH22" i="13"/>
  <c r="AG22" i="13"/>
  <c r="AF22" i="13"/>
  <c r="AC22" i="13"/>
  <c r="AB22" i="13"/>
  <c r="AA22" i="13"/>
  <c r="X22" i="13"/>
  <c r="W22" i="13"/>
  <c r="V22" i="13"/>
  <c r="S22" i="13"/>
  <c r="R22" i="13"/>
  <c r="Q22" i="13"/>
  <c r="AU21" i="13"/>
  <c r="AT21" i="13"/>
  <c r="AS21" i="13"/>
  <c r="AR21" i="13"/>
  <c r="AQ21" i="13"/>
  <c r="AP21" i="13"/>
  <c r="AI21" i="13"/>
  <c r="AH21" i="13"/>
  <c r="AG21" i="13"/>
  <c r="AF21" i="13"/>
  <c r="AC21" i="13"/>
  <c r="AB21" i="13"/>
  <c r="AA21" i="13"/>
  <c r="X21" i="13"/>
  <c r="W21" i="13"/>
  <c r="V21" i="13"/>
  <c r="S21" i="13"/>
  <c r="R21" i="13"/>
  <c r="Q21" i="13"/>
  <c r="AU20" i="13"/>
  <c r="AT20" i="13"/>
  <c r="AS20" i="13"/>
  <c r="AR20" i="13"/>
  <c r="AQ20" i="13"/>
  <c r="AP20" i="13"/>
  <c r="AI20" i="13"/>
  <c r="AH20" i="13"/>
  <c r="AG20" i="13"/>
  <c r="AF20" i="13"/>
  <c r="AC20" i="13"/>
  <c r="AB20" i="13"/>
  <c r="AA20" i="13"/>
  <c r="X20" i="13"/>
  <c r="W20" i="13"/>
  <c r="V20" i="13"/>
  <c r="S20" i="13"/>
  <c r="R20" i="13"/>
  <c r="Q20" i="13"/>
  <c r="AU19" i="13"/>
  <c r="AT19" i="13"/>
  <c r="AS19" i="13"/>
  <c r="AR19" i="13"/>
  <c r="AQ19" i="13"/>
  <c r="AP19" i="13"/>
  <c r="AI19" i="13"/>
  <c r="AH19" i="13"/>
  <c r="AG19" i="13"/>
  <c r="AF19" i="13"/>
  <c r="AC19" i="13"/>
  <c r="AB19" i="13"/>
  <c r="AA19" i="13"/>
  <c r="X19" i="13"/>
  <c r="W19" i="13"/>
  <c r="V19" i="13"/>
  <c r="S19" i="13"/>
  <c r="R19" i="13"/>
  <c r="Q19" i="13"/>
  <c r="AU18" i="13"/>
  <c r="AT18" i="13"/>
  <c r="AS18" i="13"/>
  <c r="AR18" i="13"/>
  <c r="AQ18" i="13"/>
  <c r="AP18" i="13"/>
  <c r="AI18" i="13"/>
  <c r="AH18" i="13"/>
  <c r="AG18" i="13"/>
  <c r="AF18" i="13"/>
  <c r="AC18" i="13"/>
  <c r="AB18" i="13"/>
  <c r="AA18" i="13"/>
  <c r="X18" i="13"/>
  <c r="W18" i="13"/>
  <c r="V18" i="13"/>
  <c r="S18" i="13"/>
  <c r="R18" i="13"/>
  <c r="Q18" i="13"/>
  <c r="AU17" i="13"/>
  <c r="AT17" i="13"/>
  <c r="AS17" i="13"/>
  <c r="AR17" i="13"/>
  <c r="AQ17" i="13"/>
  <c r="AP17" i="13"/>
  <c r="AI17" i="13"/>
  <c r="AH17" i="13"/>
  <c r="AG17" i="13"/>
  <c r="AF17" i="13"/>
  <c r="AC17" i="13"/>
  <c r="AB17" i="13"/>
  <c r="AA17" i="13"/>
  <c r="X17" i="13"/>
  <c r="W17" i="13"/>
  <c r="V17" i="13"/>
  <c r="S17" i="13"/>
  <c r="R17" i="13"/>
  <c r="Q17" i="13"/>
  <c r="AU16" i="13"/>
  <c r="AT16" i="13"/>
  <c r="AS16" i="13"/>
  <c r="AR16" i="13"/>
  <c r="AQ16" i="13"/>
  <c r="AP16" i="13"/>
  <c r="AI16" i="13"/>
  <c r="AH16" i="13"/>
  <c r="AG16" i="13"/>
  <c r="AF16" i="13"/>
  <c r="AC16" i="13"/>
  <c r="AB16" i="13"/>
  <c r="AA16" i="13"/>
  <c r="X16" i="13"/>
  <c r="W16" i="13"/>
  <c r="V16" i="13"/>
  <c r="S16" i="13"/>
  <c r="R16" i="13"/>
  <c r="Q16" i="13"/>
  <c r="AP15" i="13"/>
  <c r="AQ15" i="13" s="1"/>
  <c r="AF15" i="13"/>
  <c r="AG15" i="13" s="1"/>
  <c r="AB15" i="13"/>
  <c r="AB4" i="13" s="1"/>
  <c r="I39" i="14" s="1"/>
  <c r="AA15" i="13"/>
  <c r="V15" i="13"/>
  <c r="W15" i="13" s="1"/>
  <c r="Q15" i="13"/>
  <c r="AL7" i="13"/>
  <c r="AK7" i="13"/>
  <c r="AJ7" i="13"/>
  <c r="AI7" i="13" s="1"/>
  <c r="K92" i="14" s="1"/>
  <c r="AL6" i="13"/>
  <c r="AK6" i="13"/>
  <c r="AJ6" i="13"/>
  <c r="AO5" i="13"/>
  <c r="J45" i="14" s="1"/>
  <c r="AN5" i="13"/>
  <c r="J44" i="14" s="1"/>
  <c r="AM5" i="13"/>
  <c r="J43" i="14" s="1"/>
  <c r="AL5" i="13"/>
  <c r="AK5" i="13"/>
  <c r="AJ5" i="13"/>
  <c r="AE5" i="13"/>
  <c r="J41" i="14" s="1"/>
  <c r="AD5" i="13"/>
  <c r="J40" i="14" s="1"/>
  <c r="Z5" i="13"/>
  <c r="J38" i="14" s="1"/>
  <c r="Y5" i="13"/>
  <c r="J37" i="14" s="1"/>
  <c r="U5" i="13"/>
  <c r="J35" i="14" s="1"/>
  <c r="T5" i="13"/>
  <c r="J34" i="14" s="1"/>
  <c r="P5" i="13"/>
  <c r="J32" i="14" s="1"/>
  <c r="O5" i="13"/>
  <c r="AO4" i="13"/>
  <c r="I45" i="14" s="1"/>
  <c r="AN4" i="13"/>
  <c r="I44" i="14" s="1"/>
  <c r="AM4" i="13"/>
  <c r="AL4" i="13"/>
  <c r="AK4" i="13"/>
  <c r="AJ4" i="13"/>
  <c r="AE4" i="13"/>
  <c r="I41" i="14" s="1"/>
  <c r="AD4" i="13"/>
  <c r="I40" i="14" s="1"/>
  <c r="Z4" i="13"/>
  <c r="I38" i="14" s="1"/>
  <c r="Y4" i="13"/>
  <c r="U4" i="13"/>
  <c r="I35" i="14" s="1"/>
  <c r="T4" i="13"/>
  <c r="I34" i="14" s="1"/>
  <c r="P4" i="13"/>
  <c r="I32" i="14" s="1"/>
  <c r="O4" i="13"/>
  <c r="I31" i="14" s="1"/>
  <c r="AO3" i="13"/>
  <c r="L45" i="14" s="1"/>
  <c r="AM3" i="13"/>
  <c r="L43" i="14" s="1"/>
  <c r="AL3" i="13"/>
  <c r="AK3" i="13"/>
  <c r="AJ3" i="13"/>
  <c r="AI3" i="13" s="1"/>
  <c r="K88" i="14" s="1"/>
  <c r="AD3" i="13"/>
  <c r="L40" i="14" s="1"/>
  <c r="U3" i="13"/>
  <c r="L35" i="14" s="1"/>
  <c r="T3" i="13"/>
  <c r="L34" i="14" s="1"/>
  <c r="J3" i="13"/>
  <c r="AO2" i="13"/>
  <c r="K45" i="14" s="1"/>
  <c r="AN2" i="13"/>
  <c r="K44" i="14" s="1"/>
  <c r="AM2" i="13"/>
  <c r="AL2" i="13"/>
  <c r="AK2" i="13"/>
  <c r="AJ2" i="13"/>
  <c r="AI2" i="13" s="1"/>
  <c r="K87" i="14" s="1"/>
  <c r="AE2" i="13"/>
  <c r="K41" i="14" s="1"/>
  <c r="AD2" i="13"/>
  <c r="AB2" i="13"/>
  <c r="K39" i="14" s="1"/>
  <c r="Z2" i="13"/>
  <c r="K38" i="14" s="1"/>
  <c r="Y2" i="13"/>
  <c r="K37" i="14" s="1"/>
  <c r="U2" i="13"/>
  <c r="K35" i="14" s="1"/>
  <c r="T2" i="13"/>
  <c r="K34" i="14" s="1"/>
  <c r="P2" i="13"/>
  <c r="K32" i="14" s="1"/>
  <c r="O2" i="13"/>
  <c r="K31" i="14" s="1"/>
  <c r="J2" i="13"/>
  <c r="F17" i="14" s="1"/>
  <c r="I2" i="13"/>
  <c r="J17" i="14" s="1"/>
  <c r="AO1" i="13"/>
  <c r="H45" i="14" s="1"/>
  <c r="AN1" i="13"/>
  <c r="AN3" i="13" s="1"/>
  <c r="L44" i="14" s="1"/>
  <c r="AM1" i="13"/>
  <c r="H43" i="14" s="1"/>
  <c r="AL1" i="13"/>
  <c r="AK1" i="13"/>
  <c r="AI1" i="13" s="1"/>
  <c r="K86" i="14" s="1"/>
  <c r="AJ1" i="13"/>
  <c r="AE1" i="13"/>
  <c r="H41" i="14" s="1"/>
  <c r="AD1" i="13"/>
  <c r="H40" i="14" s="1"/>
  <c r="AB1" i="13"/>
  <c r="H39" i="14" s="1"/>
  <c r="Z1" i="13"/>
  <c r="H38" i="14" s="1"/>
  <c r="Y1" i="13"/>
  <c r="Y3" i="13" s="1"/>
  <c r="L37" i="14" s="1"/>
  <c r="U1" i="13"/>
  <c r="H35" i="14" s="1"/>
  <c r="T1" i="13"/>
  <c r="P1" i="13"/>
  <c r="P3" i="13" s="1"/>
  <c r="L32" i="14" s="1"/>
  <c r="O1" i="13"/>
  <c r="O3" i="13" s="1"/>
  <c r="L31" i="14" s="1"/>
  <c r="J1" i="13"/>
  <c r="I1" i="13"/>
  <c r="J16" i="14" s="1"/>
  <c r="AM61" i="1"/>
  <c r="AN61" i="1" s="1"/>
  <c r="AO61" i="1" s="1"/>
  <c r="AC61" i="1"/>
  <c r="AD61" i="1" s="1"/>
  <c r="AE61" i="1" s="1"/>
  <c r="X61" i="1"/>
  <c r="S61" i="1"/>
  <c r="T61" i="1" s="1"/>
  <c r="U61" i="1" s="1"/>
  <c r="AM60" i="1"/>
  <c r="AN60" i="1" s="1"/>
  <c r="AO60" i="1" s="1"/>
  <c r="AC60" i="1"/>
  <c r="AD60" i="1" s="1"/>
  <c r="AE60" i="1" s="1"/>
  <c r="X60" i="1"/>
  <c r="S60" i="1"/>
  <c r="T60" i="1" s="1"/>
  <c r="U60" i="1" s="1"/>
  <c r="AM59" i="1"/>
  <c r="AN59" i="1" s="1"/>
  <c r="AO59" i="1" s="1"/>
  <c r="AD59" i="1"/>
  <c r="AE59" i="1" s="1"/>
  <c r="AC59" i="1"/>
  <c r="X59" i="1"/>
  <c r="S59" i="1"/>
  <c r="T59" i="1" s="1"/>
  <c r="U59" i="1" s="1"/>
  <c r="AM58" i="1"/>
  <c r="AN58" i="1" s="1"/>
  <c r="AO58" i="1" s="1"/>
  <c r="AC58" i="1"/>
  <c r="AD58" i="1" s="1"/>
  <c r="AE58" i="1" s="1"/>
  <c r="X58" i="1"/>
  <c r="S58" i="1"/>
  <c r="T58" i="1" s="1"/>
  <c r="U58" i="1" s="1"/>
  <c r="AM57" i="1"/>
  <c r="AN57" i="1" s="1"/>
  <c r="AO57" i="1" s="1"/>
  <c r="AD57" i="1"/>
  <c r="AE57" i="1" s="1"/>
  <c r="AC57" i="1"/>
  <c r="X57" i="1"/>
  <c r="S57" i="1"/>
  <c r="T57" i="1" s="1"/>
  <c r="U57" i="1" s="1"/>
  <c r="AM56" i="1"/>
  <c r="AN56" i="1" s="1"/>
  <c r="AO56" i="1" s="1"/>
  <c r="AC56" i="1"/>
  <c r="AD56" i="1" s="1"/>
  <c r="AE56" i="1" s="1"/>
  <c r="X56" i="1"/>
  <c r="S56" i="1"/>
  <c r="T56" i="1" s="1"/>
  <c r="U56" i="1" s="1"/>
  <c r="AM55" i="1"/>
  <c r="AN55" i="1" s="1"/>
  <c r="AO55" i="1" s="1"/>
  <c r="AD55" i="1"/>
  <c r="AE55" i="1" s="1"/>
  <c r="AC55" i="1"/>
  <c r="X55" i="1"/>
  <c r="S55" i="1"/>
  <c r="T55" i="1" s="1"/>
  <c r="U55" i="1" s="1"/>
  <c r="AM54" i="1"/>
  <c r="AN54" i="1" s="1"/>
  <c r="AO54" i="1" s="1"/>
  <c r="AC54" i="1"/>
  <c r="AD54" i="1" s="1"/>
  <c r="AE54" i="1" s="1"/>
  <c r="X54" i="1"/>
  <c r="S54" i="1"/>
  <c r="T54" i="1" s="1"/>
  <c r="U54" i="1" s="1"/>
  <c r="AM53" i="1"/>
  <c r="AN53" i="1" s="1"/>
  <c r="AO53" i="1" s="1"/>
  <c r="AD53" i="1"/>
  <c r="AE53" i="1" s="1"/>
  <c r="AC53" i="1"/>
  <c r="X53" i="1"/>
  <c r="S53" i="1"/>
  <c r="T53" i="1" s="1"/>
  <c r="U53" i="1" s="1"/>
  <c r="AM52" i="1"/>
  <c r="AN52" i="1" s="1"/>
  <c r="AO52" i="1" s="1"/>
  <c r="AC52" i="1"/>
  <c r="AD52" i="1" s="1"/>
  <c r="AE52" i="1" s="1"/>
  <c r="X52" i="1"/>
  <c r="S52" i="1"/>
  <c r="T52" i="1" s="1"/>
  <c r="U52" i="1" s="1"/>
  <c r="AM51" i="1"/>
  <c r="AN51" i="1" s="1"/>
  <c r="AO51" i="1" s="1"/>
  <c r="AD51" i="1"/>
  <c r="AE51" i="1" s="1"/>
  <c r="AC51" i="1"/>
  <c r="X51" i="1"/>
  <c r="S51" i="1"/>
  <c r="T51" i="1" s="1"/>
  <c r="U51" i="1" s="1"/>
  <c r="AM50" i="1"/>
  <c r="AN50" i="1" s="1"/>
  <c r="AO50" i="1" s="1"/>
  <c r="AC50" i="1"/>
  <c r="AD50" i="1" s="1"/>
  <c r="AE50" i="1" s="1"/>
  <c r="X50" i="1"/>
  <c r="S50" i="1"/>
  <c r="T50" i="1" s="1"/>
  <c r="U50" i="1" s="1"/>
  <c r="AM49" i="1"/>
  <c r="AN49" i="1" s="1"/>
  <c r="AO49" i="1" s="1"/>
  <c r="AD49" i="1"/>
  <c r="AE49" i="1" s="1"/>
  <c r="AC49" i="1"/>
  <c r="X49" i="1"/>
  <c r="S49" i="1"/>
  <c r="T49" i="1" s="1"/>
  <c r="U49" i="1" s="1"/>
  <c r="AM48" i="1"/>
  <c r="AN48" i="1" s="1"/>
  <c r="AO48" i="1" s="1"/>
  <c r="AC48" i="1"/>
  <c r="AD48" i="1" s="1"/>
  <c r="AE48" i="1" s="1"/>
  <c r="X48" i="1"/>
  <c r="S48" i="1"/>
  <c r="T48" i="1" s="1"/>
  <c r="U48" i="1" s="1"/>
  <c r="AM47" i="1"/>
  <c r="AN47" i="1" s="1"/>
  <c r="AO47" i="1" s="1"/>
  <c r="AC47" i="1"/>
  <c r="AD47" i="1" s="1"/>
  <c r="AE47" i="1" s="1"/>
  <c r="X47" i="1"/>
  <c r="S47" i="1"/>
  <c r="T47" i="1" s="1"/>
  <c r="U47" i="1" s="1"/>
  <c r="AM46" i="1"/>
  <c r="AN46" i="1" s="1"/>
  <c r="AO46" i="1" s="1"/>
  <c r="AC46" i="1"/>
  <c r="AD46" i="1" s="1"/>
  <c r="AE46" i="1" s="1"/>
  <c r="X46" i="1"/>
  <c r="Y46" i="1" s="1"/>
  <c r="Z46" i="1" s="1"/>
  <c r="S46" i="1"/>
  <c r="T46" i="1" s="1"/>
  <c r="U46" i="1" s="1"/>
  <c r="AM45" i="1"/>
  <c r="AN45" i="1" s="1"/>
  <c r="AO45" i="1" s="1"/>
  <c r="AC45" i="1"/>
  <c r="AD45" i="1" s="1"/>
  <c r="AE45" i="1" s="1"/>
  <c r="X45" i="1"/>
  <c r="Y45" i="1" s="1"/>
  <c r="Z45" i="1" s="1"/>
  <c r="S45" i="1"/>
  <c r="T45" i="1" s="1"/>
  <c r="U45" i="1" s="1"/>
  <c r="AM44" i="1"/>
  <c r="AN44" i="1" s="1"/>
  <c r="AO44" i="1" s="1"/>
  <c r="AC44" i="1"/>
  <c r="AD44" i="1" s="1"/>
  <c r="AE44" i="1" s="1"/>
  <c r="X44" i="1"/>
  <c r="Y44" i="1" s="1"/>
  <c r="Z44" i="1" s="1"/>
  <c r="T44" i="1"/>
  <c r="U44" i="1" s="1"/>
  <c r="S44" i="1"/>
  <c r="AM43" i="1"/>
  <c r="AN43" i="1" s="1"/>
  <c r="AO43" i="1" s="1"/>
  <c r="AC43" i="1"/>
  <c r="AD43" i="1" s="1"/>
  <c r="AE43" i="1" s="1"/>
  <c r="X43" i="1"/>
  <c r="Y43" i="1" s="1"/>
  <c r="Z43" i="1" s="1"/>
  <c r="S43" i="1"/>
  <c r="T43" i="1" s="1"/>
  <c r="U43" i="1" s="1"/>
  <c r="AM32" i="1"/>
  <c r="AC32" i="1"/>
  <c r="AD32" i="1" s="1"/>
  <c r="AE32" i="1" s="1"/>
  <c r="X32" i="1"/>
  <c r="S32" i="1"/>
  <c r="T32" i="1" s="1"/>
  <c r="U32" i="1" s="1"/>
  <c r="AM31" i="1"/>
  <c r="AN30" i="1" s="1"/>
  <c r="AO31" i="1" s="1"/>
  <c r="AC31" i="1"/>
  <c r="AD31" i="1" s="1"/>
  <c r="AE31" i="1" s="1"/>
  <c r="X31" i="1"/>
  <c r="S31" i="1"/>
  <c r="T31" i="1" s="1"/>
  <c r="U31" i="1" s="1"/>
  <c r="AM30" i="1"/>
  <c r="AN29" i="1" s="1"/>
  <c r="AO30" i="1" s="1"/>
  <c r="AC30" i="1"/>
  <c r="AD30" i="1" s="1"/>
  <c r="AE30" i="1" s="1"/>
  <c r="X30" i="1"/>
  <c r="S30" i="1"/>
  <c r="T30" i="1" s="1"/>
  <c r="U30" i="1" s="1"/>
  <c r="AM29" i="1"/>
  <c r="AN28" i="1" s="1"/>
  <c r="AO29" i="1" s="1"/>
  <c r="AC29" i="1"/>
  <c r="AD29" i="1" s="1"/>
  <c r="AE29" i="1" s="1"/>
  <c r="X29" i="1"/>
  <c r="S29" i="1"/>
  <c r="T29" i="1" s="1"/>
  <c r="U29" i="1" s="1"/>
  <c r="AM28" i="1"/>
  <c r="AN27" i="1" s="1"/>
  <c r="AO28" i="1" s="1"/>
  <c r="AC28" i="1"/>
  <c r="AD28" i="1" s="1"/>
  <c r="AE28" i="1" s="1"/>
  <c r="X28" i="1"/>
  <c r="S28" i="1"/>
  <c r="T28" i="1" s="1"/>
  <c r="U28" i="1" s="1"/>
  <c r="AM27" i="1"/>
  <c r="AN26" i="1" s="1"/>
  <c r="AO27" i="1" s="1"/>
  <c r="AC27" i="1"/>
  <c r="AD27" i="1" s="1"/>
  <c r="AE27" i="1" s="1"/>
  <c r="X27" i="1"/>
  <c r="Y27" i="1" s="1"/>
  <c r="Z27" i="1" s="1"/>
  <c r="S27" i="1"/>
  <c r="T27" i="1" s="1"/>
  <c r="U27" i="1" s="1"/>
  <c r="AM26" i="1"/>
  <c r="AN25" i="1" s="1"/>
  <c r="AO26" i="1" s="1"/>
  <c r="AC26" i="1"/>
  <c r="X26" i="1"/>
  <c r="Y26" i="1" s="1"/>
  <c r="Z26" i="1" s="1"/>
  <c r="S26" i="1"/>
  <c r="T26" i="1" s="1"/>
  <c r="U26" i="1" s="1"/>
  <c r="AM25" i="1"/>
  <c r="AN24" i="1" s="1"/>
  <c r="AO25" i="1" s="1"/>
  <c r="AC25" i="1"/>
  <c r="X25" i="1"/>
  <c r="Y25" i="1" s="1"/>
  <c r="Z25" i="1" s="1"/>
  <c r="S25" i="1"/>
  <c r="T25" i="1" s="1"/>
  <c r="U25" i="1" s="1"/>
  <c r="AM24" i="1"/>
  <c r="AN23" i="1" s="1"/>
  <c r="AO23" i="1" s="1"/>
  <c r="AC24" i="1"/>
  <c r="X24" i="1"/>
  <c r="Y24" i="1" s="1"/>
  <c r="Z24" i="1" s="1"/>
  <c r="S24" i="1"/>
  <c r="T24" i="1" s="1"/>
  <c r="U24" i="1" s="1"/>
  <c r="AM23" i="1"/>
  <c r="AN22" i="1" s="1"/>
  <c r="AO22" i="1" s="1"/>
  <c r="AC23" i="1"/>
  <c r="X23" i="1"/>
  <c r="Y23" i="1" s="1"/>
  <c r="Z23" i="1" s="1"/>
  <c r="S23" i="1"/>
  <c r="T23" i="1" s="1"/>
  <c r="U23" i="1" s="1"/>
  <c r="AP22" i="1"/>
  <c r="AM22" i="1"/>
  <c r="AC22" i="1"/>
  <c r="X22" i="1"/>
  <c r="Y22" i="1" s="1"/>
  <c r="Z22" i="1" s="1"/>
  <c r="S22" i="1"/>
  <c r="T22" i="1" s="1"/>
  <c r="U22" i="1" s="1"/>
  <c r="AM21" i="1"/>
  <c r="AC21" i="1"/>
  <c r="AD21" i="1" s="1"/>
  <c r="AE21" i="1" s="1"/>
  <c r="X21" i="1"/>
  <c r="Y21" i="1" s="1"/>
  <c r="Z21" i="1" s="1"/>
  <c r="S21" i="1"/>
  <c r="T21" i="1" s="1"/>
  <c r="U21" i="1" s="1"/>
  <c r="AM20" i="1"/>
  <c r="AC20" i="1"/>
  <c r="X20" i="1"/>
  <c r="Y20" i="1" s="1"/>
  <c r="Z20" i="1" s="1"/>
  <c r="S20" i="1"/>
  <c r="T20" i="1" s="1"/>
  <c r="U20" i="1" s="1"/>
  <c r="AM19" i="1"/>
  <c r="AC19" i="1"/>
  <c r="X19" i="1"/>
  <c r="Y19" i="1" s="1"/>
  <c r="Z19" i="1" s="1"/>
  <c r="S19" i="1"/>
  <c r="T19" i="1" s="1"/>
  <c r="U19" i="1" s="1"/>
  <c r="AM18" i="1"/>
  <c r="AC18" i="1"/>
  <c r="X18" i="1"/>
  <c r="Y18" i="1" s="1"/>
  <c r="Z18" i="1" s="1"/>
  <c r="S18" i="1"/>
  <c r="T18" i="1" s="1"/>
  <c r="U18" i="1" s="1"/>
  <c r="AM17" i="1"/>
  <c r="AC17" i="1"/>
  <c r="X17" i="1"/>
  <c r="Y17" i="1" s="1"/>
  <c r="Z17" i="1" s="1"/>
  <c r="S17" i="1"/>
  <c r="T17" i="1" s="1"/>
  <c r="U17" i="1" s="1"/>
  <c r="AM16" i="1"/>
  <c r="AN32" i="1" s="1"/>
  <c r="AO33" i="1" s="1"/>
  <c r="AQ33" i="1" s="1"/>
  <c r="AR33" i="1" s="1"/>
  <c r="AC16" i="1"/>
  <c r="X16" i="1"/>
  <c r="Y16" i="1" s="1"/>
  <c r="Z16" i="1" s="1"/>
  <c r="S16" i="1"/>
  <c r="AM15" i="1"/>
  <c r="AN31" i="1" s="1"/>
  <c r="AC15" i="1"/>
  <c r="AD15" i="1" s="1"/>
  <c r="AE15" i="1" s="1"/>
  <c r="X15" i="1"/>
  <c r="Y15" i="1" s="1"/>
  <c r="S15" i="1"/>
  <c r="J12" i="1"/>
  <c r="G24" i="9" s="1"/>
  <c r="J11" i="1"/>
  <c r="G23" i="9" s="1"/>
  <c r="J10" i="1"/>
  <c r="G22" i="9" s="1"/>
  <c r="J9" i="1"/>
  <c r="G21" i="9" s="1"/>
  <c r="J8" i="1"/>
  <c r="G20" i="9" s="1"/>
  <c r="AI7" i="1"/>
  <c r="AH7" i="1"/>
  <c r="AG7" i="1"/>
  <c r="J7" i="1"/>
  <c r="G19" i="9" s="1"/>
  <c r="AI6" i="1"/>
  <c r="AH6" i="1"/>
  <c r="AG6" i="1"/>
  <c r="J6" i="1"/>
  <c r="G18" i="9" s="1"/>
  <c r="AL5" i="1"/>
  <c r="J46" i="9" s="1"/>
  <c r="AK5" i="1"/>
  <c r="J45" i="9" s="1"/>
  <c r="AJ5" i="1"/>
  <c r="J44" i="9" s="1"/>
  <c r="AI5" i="1"/>
  <c r="AH5" i="1"/>
  <c r="AG5" i="1"/>
  <c r="AB5" i="1"/>
  <c r="J42" i="9" s="1"/>
  <c r="AA5" i="1"/>
  <c r="J41" i="9" s="1"/>
  <c r="W5" i="1"/>
  <c r="J39" i="9" s="1"/>
  <c r="V5" i="1"/>
  <c r="J38" i="9" s="1"/>
  <c r="R5" i="1"/>
  <c r="J36" i="9" s="1"/>
  <c r="Q5" i="1"/>
  <c r="J35" i="9" s="1"/>
  <c r="J5" i="1"/>
  <c r="G17" i="9" s="1"/>
  <c r="AL4" i="1"/>
  <c r="I46" i="9" s="1"/>
  <c r="AK4" i="1"/>
  <c r="I45" i="9" s="1"/>
  <c r="AJ4" i="1"/>
  <c r="I44" i="9" s="1"/>
  <c r="AI4" i="1"/>
  <c r="AH4" i="1"/>
  <c r="AG4" i="1"/>
  <c r="AB4" i="1"/>
  <c r="I42" i="9" s="1"/>
  <c r="AA4" i="1"/>
  <c r="I41" i="9" s="1"/>
  <c r="W4" i="1"/>
  <c r="I39" i="9" s="1"/>
  <c r="V4" i="1"/>
  <c r="I38" i="9" s="1"/>
  <c r="R4" i="1"/>
  <c r="I36" i="9" s="1"/>
  <c r="Q4" i="1"/>
  <c r="I35" i="9" s="1"/>
  <c r="J4" i="1"/>
  <c r="G16" i="9" s="1"/>
  <c r="AI3" i="1"/>
  <c r="AH3" i="1"/>
  <c r="AG3" i="1"/>
  <c r="J3" i="1"/>
  <c r="G15" i="9" s="1"/>
  <c r="AL2" i="1"/>
  <c r="K46" i="9" s="1"/>
  <c r="AK2" i="1"/>
  <c r="K45" i="9" s="1"/>
  <c r="AJ2" i="1"/>
  <c r="K44" i="9" s="1"/>
  <c r="AI2" i="1"/>
  <c r="AH2" i="1"/>
  <c r="AG2" i="1"/>
  <c r="AB2" i="1"/>
  <c r="K42" i="9" s="1"/>
  <c r="AA2" i="1"/>
  <c r="K41" i="9" s="1"/>
  <c r="W2" i="1"/>
  <c r="K39" i="9" s="1"/>
  <c r="V2" i="1"/>
  <c r="K38" i="9" s="1"/>
  <c r="R2" i="1"/>
  <c r="K36" i="9" s="1"/>
  <c r="Q2" i="1"/>
  <c r="K35" i="9" s="1"/>
  <c r="P2" i="1"/>
  <c r="K34" i="9" s="1"/>
  <c r="J2" i="1"/>
  <c r="G14" i="9" s="1"/>
  <c r="AL1" i="1"/>
  <c r="H46" i="9" s="1"/>
  <c r="AK1" i="1"/>
  <c r="AK3" i="1" s="1"/>
  <c r="L45" i="9" s="1"/>
  <c r="AJ1" i="1"/>
  <c r="H44" i="9" s="1"/>
  <c r="AI1" i="1"/>
  <c r="AH1" i="1"/>
  <c r="AG1" i="1"/>
  <c r="AB1" i="1"/>
  <c r="H42" i="9" s="1"/>
  <c r="AA1" i="1"/>
  <c r="AA3" i="1" s="1"/>
  <c r="L41" i="9" s="1"/>
  <c r="W1" i="1"/>
  <c r="H39" i="9" s="1"/>
  <c r="V1" i="1"/>
  <c r="V3" i="1" s="1"/>
  <c r="L38" i="9" s="1"/>
  <c r="R1" i="1"/>
  <c r="R3" i="1" s="1"/>
  <c r="L36" i="9" s="1"/>
  <c r="Q1" i="1"/>
  <c r="H35" i="9" s="1"/>
  <c r="J1" i="1"/>
  <c r="G13" i="9" s="1"/>
  <c r="AN17" i="1" l="1"/>
  <c r="AO17" i="1" s="1"/>
  <c r="AN33" i="1"/>
  <c r="AO34" i="1" s="1"/>
  <c r="AQ34" i="1" s="1"/>
  <c r="AR34" i="1" s="1"/>
  <c r="AN18" i="1"/>
  <c r="AO18" i="1" s="1"/>
  <c r="AN34" i="1"/>
  <c r="AQ35" i="1" s="1"/>
  <c r="AR35" i="1" s="1"/>
  <c r="AN19" i="1"/>
  <c r="AO19" i="1" s="1"/>
  <c r="AN20" i="1"/>
  <c r="AO20" i="1" s="1"/>
  <c r="AN21" i="1"/>
  <c r="AO21" i="1" s="1"/>
  <c r="AN38" i="1"/>
  <c r="P1" i="1"/>
  <c r="H34" i="9" s="1"/>
  <c r="P4" i="1"/>
  <c r="I34" i="9" s="1"/>
  <c r="O2" i="1"/>
  <c r="K33" i="9" s="1"/>
  <c r="T16" i="1"/>
  <c r="U16" i="1" s="1"/>
  <c r="O5" i="1"/>
  <c r="J33" i="9" s="1"/>
  <c r="O1" i="1"/>
  <c r="H33" i="9" s="1"/>
  <c r="AF4" i="1"/>
  <c r="K90" i="9" s="1"/>
  <c r="AF5" i="1"/>
  <c r="K91" i="9" s="1"/>
  <c r="AF3" i="1"/>
  <c r="K89" i="9" s="1"/>
  <c r="AL3" i="1"/>
  <c r="L46" i="9" s="1"/>
  <c r="AF2" i="1"/>
  <c r="K88" i="9" s="1"/>
  <c r="AF1" i="1"/>
  <c r="K87" i="9" s="1"/>
  <c r="AF6" i="1"/>
  <c r="K92" i="9" s="1"/>
  <c r="AF7" i="1"/>
  <c r="K93" i="9" s="1"/>
  <c r="AO24" i="1"/>
  <c r="AP48" i="1"/>
  <c r="AQ48" i="1" s="1"/>
  <c r="AR48" i="1" s="1"/>
  <c r="Y48" i="1"/>
  <c r="Z48" i="1" s="1"/>
  <c r="AF48" i="1" s="1"/>
  <c r="AP52" i="1"/>
  <c r="AQ52" i="1" s="1"/>
  <c r="AR52" i="1" s="1"/>
  <c r="Y52" i="1"/>
  <c r="Z52" i="1" s="1"/>
  <c r="AP56" i="1"/>
  <c r="AQ56" i="1" s="1"/>
  <c r="AR56" i="1" s="1"/>
  <c r="Y56" i="1"/>
  <c r="Z56" i="1" s="1"/>
  <c r="AF56" i="1" s="1"/>
  <c r="AP60" i="1"/>
  <c r="AQ60" i="1" s="1"/>
  <c r="AR60" i="1" s="1"/>
  <c r="Y60" i="1"/>
  <c r="Z60" i="1" s="1"/>
  <c r="AF60" i="1" s="1"/>
  <c r="AF43" i="1"/>
  <c r="AP44" i="1"/>
  <c r="AQ44" i="1" s="1"/>
  <c r="AR44" i="1" s="1"/>
  <c r="AF45" i="1"/>
  <c r="AP46" i="1"/>
  <c r="AQ46" i="1" s="1"/>
  <c r="AR46" i="1" s="1"/>
  <c r="AP49" i="1"/>
  <c r="AQ49" i="1" s="1"/>
  <c r="AR49" i="1" s="1"/>
  <c r="Y49" i="1"/>
  <c r="Z49" i="1" s="1"/>
  <c r="AF49" i="1" s="1"/>
  <c r="AP53" i="1"/>
  <c r="AQ53" i="1" s="1"/>
  <c r="AR53" i="1" s="1"/>
  <c r="Y53" i="1"/>
  <c r="Z53" i="1" s="1"/>
  <c r="AF53" i="1" s="1"/>
  <c r="AP57" i="1"/>
  <c r="AQ57" i="1" s="1"/>
  <c r="AR57" i="1" s="1"/>
  <c r="Y57" i="1"/>
  <c r="Z57" i="1" s="1"/>
  <c r="AF57" i="1" s="1"/>
  <c r="AP61" i="1"/>
  <c r="AQ61" i="1" s="1"/>
  <c r="AR61" i="1" s="1"/>
  <c r="Y61" i="1"/>
  <c r="Z61" i="1" s="1"/>
  <c r="AF61" i="1" s="1"/>
  <c r="AN15" i="1"/>
  <c r="AP47" i="1"/>
  <c r="AQ47" i="1" s="1"/>
  <c r="AR47" i="1" s="1"/>
  <c r="Y47" i="1"/>
  <c r="Z47" i="1" s="1"/>
  <c r="AF47" i="1" s="1"/>
  <c r="AP50" i="1"/>
  <c r="AQ50" i="1" s="1"/>
  <c r="AR50" i="1" s="1"/>
  <c r="Y50" i="1"/>
  <c r="Z50" i="1" s="1"/>
  <c r="AF50" i="1" s="1"/>
  <c r="AP54" i="1"/>
  <c r="AQ54" i="1" s="1"/>
  <c r="AR54" i="1" s="1"/>
  <c r="Y54" i="1"/>
  <c r="Z54" i="1" s="1"/>
  <c r="AF54" i="1" s="1"/>
  <c r="AP58" i="1"/>
  <c r="AQ58" i="1" s="1"/>
  <c r="AR58" i="1" s="1"/>
  <c r="Y58" i="1"/>
  <c r="Z58" i="1" s="1"/>
  <c r="AF58" i="1" s="1"/>
  <c r="H36" i="9"/>
  <c r="W3" i="1"/>
  <c r="L39" i="9" s="1"/>
  <c r="AJ3" i="1"/>
  <c r="L44" i="9" s="1"/>
  <c r="AP43" i="1"/>
  <c r="AQ43" i="1" s="1"/>
  <c r="AR43" i="1" s="1"/>
  <c r="AF44" i="1"/>
  <c r="AP45" i="1"/>
  <c r="AQ45" i="1" s="1"/>
  <c r="AR45" i="1" s="1"/>
  <c r="AF46" i="1"/>
  <c r="AP51" i="1"/>
  <c r="AQ51" i="1" s="1"/>
  <c r="AR51" i="1" s="1"/>
  <c r="Y51" i="1"/>
  <c r="Z51" i="1" s="1"/>
  <c r="AF51" i="1" s="1"/>
  <c r="AF52" i="1"/>
  <c r="AP55" i="1"/>
  <c r="AQ55" i="1" s="1"/>
  <c r="AR55" i="1" s="1"/>
  <c r="Y55" i="1"/>
  <c r="Z55" i="1" s="1"/>
  <c r="AF55" i="1" s="1"/>
  <c r="AP59" i="1"/>
  <c r="AQ59" i="1" s="1"/>
  <c r="AR59" i="1" s="1"/>
  <c r="Y59" i="1"/>
  <c r="Z59" i="1" s="1"/>
  <c r="AF59" i="1" s="1"/>
  <c r="AP17" i="1"/>
  <c r="G25" i="9"/>
  <c r="H17" i="9" s="1"/>
  <c r="AP30" i="1"/>
  <c r="AP26" i="1"/>
  <c r="K15" i="9"/>
  <c r="L13" i="9" s="1"/>
  <c r="K25" i="9"/>
  <c r="L23" i="9" s="1"/>
  <c r="Q3" i="1"/>
  <c r="L35" i="9" s="1"/>
  <c r="AP19" i="1"/>
  <c r="AP24" i="1"/>
  <c r="G17" i="14"/>
  <c r="G18" i="14"/>
  <c r="G16" i="14"/>
  <c r="G19" i="14" s="1"/>
  <c r="J18" i="14"/>
  <c r="K17" i="14" s="1"/>
  <c r="AQ2" i="13"/>
  <c r="K46" i="14" s="1"/>
  <c r="AQ4" i="13"/>
  <c r="I46" i="14" s="1"/>
  <c r="AQ1" i="13"/>
  <c r="AQ3" i="13" s="1"/>
  <c r="L46" i="14" s="1"/>
  <c r="H44" i="14"/>
  <c r="AQ5" i="13"/>
  <c r="J46" i="14" s="1"/>
  <c r="H46" i="14"/>
  <c r="AR15" i="13"/>
  <c r="AI6" i="13"/>
  <c r="K91" i="14" s="1"/>
  <c r="AI5" i="13"/>
  <c r="K90" i="14" s="1"/>
  <c r="AI4" i="13"/>
  <c r="K89" i="14" s="1"/>
  <c r="K93" i="14" s="1"/>
  <c r="L88" i="14" s="1"/>
  <c r="AE3" i="13"/>
  <c r="L41" i="14" s="1"/>
  <c r="AG5" i="13"/>
  <c r="J42" i="14" s="1"/>
  <c r="AG2" i="13"/>
  <c r="K42" i="14" s="1"/>
  <c r="AG1" i="13"/>
  <c r="AH15" i="13"/>
  <c r="AG4" i="13"/>
  <c r="I42" i="14" s="1"/>
  <c r="Z3" i="13"/>
  <c r="L38" i="14" s="1"/>
  <c r="AB3" i="13"/>
  <c r="L39" i="14" s="1"/>
  <c r="AB5" i="13"/>
  <c r="J39" i="14" s="1"/>
  <c r="AC15" i="13"/>
  <c r="H37" i="14"/>
  <c r="X15" i="13"/>
  <c r="W4" i="13"/>
  <c r="I36" i="14" s="1"/>
  <c r="W5" i="13"/>
  <c r="J36" i="14" s="1"/>
  <c r="W2" i="13"/>
  <c r="K36" i="14" s="1"/>
  <c r="W1" i="13"/>
  <c r="AS15" i="13"/>
  <c r="H32" i="14"/>
  <c r="R15" i="13"/>
  <c r="H31" i="14"/>
  <c r="AO15" i="1"/>
  <c r="AO32" i="1"/>
  <c r="AN16" i="1"/>
  <c r="AP18" i="1"/>
  <c r="AP21" i="1"/>
  <c r="AP25" i="1"/>
  <c r="AP28" i="1"/>
  <c r="H45" i="9"/>
  <c r="AP16" i="1"/>
  <c r="AP20" i="1"/>
  <c r="AP23" i="1"/>
  <c r="AP32" i="1"/>
  <c r="AD16" i="1"/>
  <c r="AD17" i="1"/>
  <c r="AE17" i="1" s="1"/>
  <c r="AF17" i="1" s="1"/>
  <c r="AD18" i="1"/>
  <c r="AE18" i="1" s="1"/>
  <c r="AF18" i="1" s="1"/>
  <c r="AD19" i="1"/>
  <c r="AE19" i="1" s="1"/>
  <c r="AF19" i="1" s="1"/>
  <c r="AD20" i="1"/>
  <c r="AE20" i="1" s="1"/>
  <c r="AF20" i="1" s="1"/>
  <c r="AD22" i="1"/>
  <c r="AE22" i="1" s="1"/>
  <c r="AF22" i="1" s="1"/>
  <c r="AD23" i="1"/>
  <c r="AE23" i="1" s="1"/>
  <c r="AF23" i="1" s="1"/>
  <c r="AD24" i="1"/>
  <c r="AE24" i="1" s="1"/>
  <c r="AF24" i="1" s="1"/>
  <c r="AD25" i="1"/>
  <c r="AE25" i="1" s="1"/>
  <c r="AF25" i="1" s="1"/>
  <c r="AD26" i="1"/>
  <c r="AE26" i="1" s="1"/>
  <c r="AF26" i="1" s="1"/>
  <c r="AP27" i="1"/>
  <c r="AP29" i="1"/>
  <c r="H41" i="9"/>
  <c r="AB3" i="1"/>
  <c r="L42" i="9" s="1"/>
  <c r="AP31" i="1"/>
  <c r="Z15" i="1"/>
  <c r="AP15" i="1"/>
  <c r="H38" i="9"/>
  <c r="AF21" i="1"/>
  <c r="AF27" i="1"/>
  <c r="Y28" i="1"/>
  <c r="Y29" i="1"/>
  <c r="Z29" i="1" s="1"/>
  <c r="AF29" i="1" s="1"/>
  <c r="Y30" i="1"/>
  <c r="Z30" i="1" s="1"/>
  <c r="AF30" i="1" s="1"/>
  <c r="AQ30" i="1" s="1"/>
  <c r="AR30" i="1" s="1"/>
  <c r="Y31" i="1"/>
  <c r="Z31" i="1" s="1"/>
  <c r="AF31" i="1" s="1"/>
  <c r="Y32" i="1"/>
  <c r="Z32" i="1" s="1"/>
  <c r="AF32" i="1" s="1"/>
  <c r="T15" i="1"/>
  <c r="P3" i="1" l="1"/>
  <c r="L34" i="9" s="1"/>
  <c r="AQ18" i="1"/>
  <c r="AR18" i="1" s="1"/>
  <c r="AQ21" i="1"/>
  <c r="AQ22" i="1"/>
  <c r="AQ27" i="1"/>
  <c r="AR27" i="1" s="1"/>
  <c r="AQ26" i="1"/>
  <c r="AR26" i="1" s="1"/>
  <c r="AQ25" i="1"/>
  <c r="AR25" i="1" s="1"/>
  <c r="AQ19" i="1"/>
  <c r="AR19" i="1" s="1"/>
  <c r="O3" i="1"/>
  <c r="L33" i="9" s="1"/>
  <c r="AQ31" i="1"/>
  <c r="AR31" i="1" s="1"/>
  <c r="K94" i="9"/>
  <c r="L87" i="9" s="1"/>
  <c r="AR21" i="1"/>
  <c r="AN2" i="1"/>
  <c r="K47" i="9" s="1"/>
  <c r="AD4" i="1"/>
  <c r="I43" i="9" s="1"/>
  <c r="AQ29" i="1"/>
  <c r="AR29" i="1" s="1"/>
  <c r="H21" i="9"/>
  <c r="AQ17" i="1"/>
  <c r="AR17" i="1" s="1"/>
  <c r="H22" i="9"/>
  <c r="AQ24" i="1"/>
  <c r="AR24" i="1" s="1"/>
  <c r="H13" i="9"/>
  <c r="H23" i="9"/>
  <c r="AQ20" i="1"/>
  <c r="AR20" i="1" s="1"/>
  <c r="AQ32" i="1"/>
  <c r="AR32" i="1" s="1"/>
  <c r="H18" i="9"/>
  <c r="H16" i="9"/>
  <c r="L22" i="9"/>
  <c r="H20" i="9"/>
  <c r="L14" i="9"/>
  <c r="L15" i="9" s="1"/>
  <c r="L24" i="9"/>
  <c r="H19" i="9"/>
  <c r="H14" i="9"/>
  <c r="H24" i="9"/>
  <c r="H15" i="9"/>
  <c r="K16" i="14"/>
  <c r="K18" i="14" s="1"/>
  <c r="L91" i="14"/>
  <c r="L89" i="14"/>
  <c r="L90" i="14"/>
  <c r="L87" i="14"/>
  <c r="L92" i="14"/>
  <c r="L86" i="14"/>
  <c r="H42" i="14"/>
  <c r="AG3" i="13"/>
  <c r="L42" i="14" s="1"/>
  <c r="H36" i="14"/>
  <c r="W3" i="13"/>
  <c r="L36" i="14" s="1"/>
  <c r="R4" i="13"/>
  <c r="I33" i="14" s="1"/>
  <c r="R2" i="13"/>
  <c r="K33" i="14" s="1"/>
  <c r="R1" i="13"/>
  <c r="S15" i="13"/>
  <c r="AI15" i="13" s="1"/>
  <c r="AT15" i="13" s="1"/>
  <c r="R5" i="13"/>
  <c r="J33" i="14" s="1"/>
  <c r="AR22" i="1"/>
  <c r="AO16" i="1"/>
  <c r="AE16" i="1"/>
  <c r="AF16" i="1" s="1"/>
  <c r="Y1" i="1"/>
  <c r="Z28" i="1"/>
  <c r="AF28" i="1" s="1"/>
  <c r="AQ28" i="1" s="1"/>
  <c r="AR28" i="1" s="1"/>
  <c r="U15" i="1"/>
  <c r="AF15" i="1" s="1"/>
  <c r="AQ15" i="1" s="1"/>
  <c r="T5" i="1"/>
  <c r="J37" i="9" s="1"/>
  <c r="AQ16" i="1" l="1"/>
  <c r="AR16" i="1" s="1"/>
  <c r="AD1" i="1"/>
  <c r="AD3" i="1" s="1"/>
  <c r="L43" i="9" s="1"/>
  <c r="AD5" i="1"/>
  <c r="J43" i="9" s="1"/>
  <c r="L88" i="9"/>
  <c r="L90" i="9"/>
  <c r="L92" i="9"/>
  <c r="L89" i="9"/>
  <c r="AN4" i="1"/>
  <c r="I47" i="9" s="1"/>
  <c r="AD2" i="1"/>
  <c r="K43" i="9" s="1"/>
  <c r="AN1" i="1"/>
  <c r="AN3" i="1" s="1"/>
  <c r="L47" i="9" s="1"/>
  <c r="L91" i="9"/>
  <c r="L93" i="9"/>
  <c r="AN5" i="1"/>
  <c r="J47" i="9" s="1"/>
  <c r="Y4" i="1"/>
  <c r="I40" i="9" s="1"/>
  <c r="Y2" i="1"/>
  <c r="K40" i="9" s="1"/>
  <c r="Y5" i="1"/>
  <c r="J40" i="9" s="1"/>
  <c r="L25" i="9"/>
  <c r="H25" i="9"/>
  <c r="AR23" i="1"/>
  <c r="L93" i="14"/>
  <c r="AT5" i="13"/>
  <c r="J47" i="14" s="1"/>
  <c r="AU15" i="13"/>
  <c r="AT4" i="13"/>
  <c r="I47" i="14" s="1"/>
  <c r="AT2" i="13"/>
  <c r="K47" i="14" s="1"/>
  <c r="AT1" i="13"/>
  <c r="H33" i="14"/>
  <c r="R3" i="13"/>
  <c r="L33" i="14" s="1"/>
  <c r="H40" i="9"/>
  <c r="Y3" i="1"/>
  <c r="L40" i="9" s="1"/>
  <c r="T2" i="1"/>
  <c r="K37" i="9" s="1"/>
  <c r="AQ2" i="1"/>
  <c r="K48" i="9" s="1"/>
  <c r="AQ5" i="1"/>
  <c r="J48" i="9" s="1"/>
  <c r="AQ4" i="1"/>
  <c r="I48" i="9" s="1"/>
  <c r="AR15" i="1"/>
  <c r="AQ1" i="1"/>
  <c r="T1" i="1"/>
  <c r="T4" i="1"/>
  <c r="I37" i="9" s="1"/>
  <c r="H43" i="9" l="1"/>
  <c r="H47" i="9"/>
  <c r="L94" i="9"/>
  <c r="AU1" i="13"/>
  <c r="E86" i="14" s="1"/>
  <c r="AU2" i="13"/>
  <c r="E87" i="14" s="1"/>
  <c r="AU3" i="13"/>
  <c r="E88" i="14" s="1"/>
  <c r="AT3" i="13"/>
  <c r="L47" i="14" s="1"/>
  <c r="H47" i="14"/>
  <c r="H37" i="9"/>
  <c r="T3" i="1"/>
  <c r="L37" i="9" s="1"/>
  <c r="AQ3" i="1"/>
  <c r="L48" i="9" s="1"/>
  <c r="H48" i="9"/>
  <c r="AR3" i="1"/>
  <c r="E89" i="9" s="1"/>
  <c r="AR1" i="1"/>
  <c r="E87" i="9" s="1"/>
  <c r="AR2" i="1"/>
  <c r="E88" i="9" s="1"/>
  <c r="F88" i="14" l="1"/>
  <c r="F87" i="14"/>
  <c r="F86" i="14"/>
  <c r="E89" i="14"/>
  <c r="F88" i="9"/>
  <c r="E90" i="9"/>
  <c r="F87" i="9"/>
  <c r="F89" i="9"/>
  <c r="F89" i="14" l="1"/>
  <c r="F90" i="9"/>
</calcChain>
</file>

<file path=xl/sharedStrings.xml><?xml version="1.0" encoding="utf-8"?>
<sst xmlns="http://schemas.openxmlformats.org/spreadsheetml/2006/main" count="684" uniqueCount="209">
  <si>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</si>
  <si>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</si>
  <si>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</si>
  <si>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</si>
  <si>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</si>
  <si>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</si>
  <si>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</si>
  <si>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</si>
  <si>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</si>
  <si>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</si>
  <si>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</si>
  <si>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</si>
  <si>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</si>
  <si>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</si>
  <si>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</si>
  <si>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</si>
  <si>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</si>
  <si>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</si>
  <si>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</si>
  <si>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</si>
  <si>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</si>
  <si>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</si>
  <si>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</si>
  <si>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</si>
  <si>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</si>
  <si>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</si>
  <si>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</si>
  <si>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</si>
  <si>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</si>
  <si>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</si>
  <si>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</si>
  <si>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</si>
  <si>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</si>
  <si>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</si>
  <si>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</si>
  <si>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</si>
  <si>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</si>
  <si>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</si>
  <si>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</si>
  <si>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</si>
  <si>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</si>
  <si>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</si>
  <si>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</si>
  <si>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</si>
  <si>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</si>
  <si>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</si>
  <si>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</si>
  <si>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</si>
  <si>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</si>
  <si>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</si>
  <si>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</si>
  <si>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</si>
  <si>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</si>
  <si>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</si>
  <si>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</si>
  <si>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</si>
  <si>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</si>
  <si>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</si>
  <si>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</si>
  <si>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</si>
  <si>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</si>
  <si>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</si>
  <si>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</si>
  <si>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</si>
  <si>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</si>
  <si>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</si>
  <si>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</si>
  <si>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</si>
  <si>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</si>
  <si>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</si>
  <si>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</si>
  <si>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</si>
  <si>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</si>
  <si>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</si>
  <si>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</si>
  <si>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</si>
  <si>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</si>
  <si>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</si>
  <si>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</si>
  <si>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OCAÑA</t>
  </si>
  <si>
    <t>AREVALO CARREÑO YURANY TORCOROMA</t>
  </si>
  <si>
    <t>Sede Principal Instituto Técnico Alfonso López</t>
  </si>
  <si>
    <t>Urbana</t>
  </si>
  <si>
    <t>Básica secundaria y media</t>
  </si>
  <si>
    <t>Trabajo en equipo</t>
  </si>
  <si>
    <t>Compromiso social</t>
  </si>
  <si>
    <t>Iniciativa</t>
  </si>
  <si>
    <t>CE</t>
  </si>
  <si>
    <t>Básica primaria</t>
  </si>
  <si>
    <t>Comunicación y relaciones</t>
  </si>
  <si>
    <t>BECERRA QUINTERO MARIA CAMILA</t>
  </si>
  <si>
    <t xml:space="preserve"> Instituto Técnico Alfonso López Sede Concentración IV Centenario</t>
  </si>
  <si>
    <t>Educación Artística y Cultural – Plásticas</t>
  </si>
  <si>
    <t>Negociación y mediación</t>
  </si>
  <si>
    <t>CAÑIZARES DURAN NERYS</t>
  </si>
  <si>
    <t>Educación Artística y Cultural – Música</t>
  </si>
  <si>
    <t>FAJARDO PEREZ ALDEMAR</t>
  </si>
  <si>
    <t>Idioma Extranjero – Inglés</t>
  </si>
  <si>
    <t>Educación Artística y Cultural – A. Escénicas</t>
  </si>
  <si>
    <t>FUENTES FUENTES CLAUDIA SAMIRA</t>
  </si>
  <si>
    <t>Educación Artística y Cultural – Danzas</t>
  </si>
  <si>
    <t>Orientación al logro</t>
  </si>
  <si>
    <t>Educación Ética y en valores</t>
  </si>
  <si>
    <t>Idioma Extranjero – Francés</t>
  </si>
  <si>
    <t>Ciencias Naturales – Química</t>
  </si>
  <si>
    <t>Ciencias Naturales – Física</t>
  </si>
  <si>
    <t>ARENIZ AREVALO YESENIA</t>
  </si>
  <si>
    <t>SANCHEZ ALVERNIA YASMIN YULIETH</t>
  </si>
  <si>
    <t>CORONEL CORONEL YANETH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</si>
  <si>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</si>
  <si>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</si>
  <si>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</si>
  <si>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</si>
  <si>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</si>
  <si>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</si>
  <si>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</si>
  <si>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</si>
  <si>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</si>
  <si>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</si>
  <si>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</si>
  <si>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</si>
  <si>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</si>
  <si>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</si>
  <si>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</si>
  <si>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</si>
  <si>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Director rural</t>
  </si>
  <si>
    <t>MINISTERIO DE EDUCACIÓN NACIONAL</t>
  </si>
  <si>
    <t>EVALUACIÓN ANUAL DE DESEMPEÑO DE DOCENTES Y DIRECTIVOS DOCENTES</t>
  </si>
  <si>
    <t>RESULTADOS DE DOCENTES - EVALUACIÓN 2023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</si>
  <si>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</si>
  <si>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</si>
  <si>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</si>
  <si>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</si>
  <si>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</si>
  <si>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</si>
  <si>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</si>
  <si>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</si>
  <si>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</si>
  <si>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</si>
  <si>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</si>
  <si>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</si>
  <si>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</si>
  <si>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</si>
  <si>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</si>
  <si>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</si>
  <si>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</si>
  <si>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</si>
  <si>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</si>
  <si>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</si>
  <si>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</si>
  <si>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</si>
  <si>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rFont val="Verdana"/>
        <charset val="134"/>
      </rPr>
      <t>Número de docentes</t>
    </r>
    <r>
      <rPr>
        <b/>
        <vertAlign val="superscript"/>
        <sz val="8"/>
        <rFont val="Verdana"/>
        <charset val="134"/>
      </rPr>
      <t>1</t>
    </r>
  </si>
  <si>
    <r>
      <rPr>
        <b/>
        <sz val="8"/>
        <rFont val="Verdana"/>
        <charset val="134"/>
      </rPr>
      <t>Puntaje mínimo</t>
    </r>
    <r>
      <rPr>
        <b/>
        <vertAlign val="superscript"/>
        <sz val="8"/>
        <rFont val="Verdana"/>
        <charset val="134"/>
      </rPr>
      <t>2</t>
    </r>
  </si>
  <si>
    <r>
      <rPr>
        <b/>
        <sz val="8"/>
        <rFont val="Verdana"/>
        <charset val="134"/>
      </rPr>
      <t>Puntaje máximo</t>
    </r>
    <r>
      <rPr>
        <b/>
        <vertAlign val="superscript"/>
        <sz val="8"/>
        <rFont val="Verdana"/>
        <charset val="134"/>
      </rPr>
      <t>3</t>
    </r>
  </si>
  <si>
    <r>
      <rPr>
        <b/>
        <sz val="8"/>
        <rFont val="Verdana"/>
        <charset val="134"/>
      </rPr>
      <t>Promedio</t>
    </r>
    <r>
      <rPr>
        <b/>
        <vertAlign val="superscript"/>
        <sz val="8"/>
        <rFont val="Verdana"/>
        <charset val="134"/>
      </rPr>
      <t>4</t>
    </r>
  </si>
  <si>
    <r>
      <rPr>
        <b/>
        <sz val="8"/>
        <rFont val="Verdana"/>
        <charset val="134"/>
      </rPr>
      <t>Desv. Estándar</t>
    </r>
    <r>
      <rPr>
        <b/>
        <vertAlign val="superscript"/>
        <sz val="8"/>
        <rFont val="Verdana"/>
        <charset val="134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</si>
  <si>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</si>
  <si>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</si>
  <si>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</si>
  <si>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</si>
  <si>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</si>
  <si>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</si>
  <si>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</si>
  <si>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</si>
  <si>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</si>
  <si>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rFont val="Verdana"/>
        <charset val="134"/>
      </rPr>
      <t>1.</t>
    </r>
    <r>
      <rPr>
        <sz val="7"/>
        <rFont val="Verdana"/>
        <charset val="134"/>
      </rPr>
      <t xml:space="preserve"> Docentes registrados en la base de datos.</t>
    </r>
  </si>
  <si>
    <r>
      <rPr>
        <b/>
        <sz val="7"/>
        <rFont val="Verdana"/>
        <charset val="134"/>
      </rPr>
      <t>2.</t>
    </r>
    <r>
      <rPr>
        <sz val="7"/>
        <rFont val="Verdana"/>
        <charset val="134"/>
      </rPr>
      <t xml:space="preserve"> Puntaje mínimo reportado en el grupo de docentes evaluados.</t>
    </r>
  </si>
  <si>
    <r>
      <rPr>
        <b/>
        <sz val="7"/>
        <rFont val="Verdana"/>
        <charset val="134"/>
      </rPr>
      <t>3.</t>
    </r>
    <r>
      <rPr>
        <sz val="7"/>
        <rFont val="Verdana"/>
        <charset val="134"/>
      </rPr>
      <t xml:space="preserve"> Puntaje máximo reportado en el grupo de docentes evaluados.</t>
    </r>
  </si>
  <si>
    <r>
      <rPr>
        <b/>
        <sz val="7"/>
        <rFont val="Verdana"/>
        <charset val="134"/>
      </rPr>
      <t>4.</t>
    </r>
    <r>
      <rPr>
        <sz val="7"/>
        <rFont val="Verdana"/>
        <charset val="134"/>
      </rPr>
      <t xml:space="preserve"> Dato que indica la tendencia del grupo de docentes evaluados. Aparece subrayado cuando es inferior a 60.</t>
    </r>
  </si>
  <si>
    <r>
      <rPr>
        <b/>
        <sz val="7"/>
        <rFont val="Verdana"/>
        <charset val="134"/>
      </rPr>
      <t>5.</t>
    </r>
    <r>
      <rPr>
        <sz val="7"/>
        <rFont val="Verdana"/>
        <charset val="134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</si>
  <si>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</si>
  <si>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</si>
  <si>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</si>
  <si>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</si>
  <si>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</si>
  <si>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</si>
  <si>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</si>
  <si>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</si>
  <si>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</si>
  <si>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</si>
  <si>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</si>
  <si>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</si>
  <si>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t>Planeación y organización</t>
  </si>
  <si>
    <t>GESTIÓN DIRECTIVA</t>
  </si>
  <si>
    <t>Innovación y direccionamiento académico</t>
  </si>
  <si>
    <t>ocaña</t>
  </si>
  <si>
    <t>ALBARRACIN DURAN JESUS ALBERTO</t>
  </si>
  <si>
    <t>IE. INSTITUTO TECNICO ALFONSO LOPEZ</t>
  </si>
  <si>
    <t>BALMACEDA TORO DIOSELI</t>
  </si>
  <si>
    <t>BARBOSA LEON SERGIO ANDRES</t>
  </si>
  <si>
    <t>GALVAO ESTUPIÑAN</t>
  </si>
  <si>
    <t>GOMEZ CACERES ZULAY ELIANA</t>
  </si>
  <si>
    <t>LIZCANO ACEVEDO MARCELA NAYARI</t>
  </si>
  <si>
    <t>LOZANO MOLINA JUAN CARLOS</t>
  </si>
  <si>
    <t>MANZANO VELASQUEZ EMILCE ISABEL</t>
  </si>
  <si>
    <t>PACHECO PACHECO SANDRA YULIETH</t>
  </si>
  <si>
    <t>PALLARES MELO MARLY KATERINE</t>
  </si>
  <si>
    <t>QUINTERO CALVO YOVANI</t>
  </si>
  <si>
    <t xml:space="preserve"> Instituto Técnico Alfonso López Sede Kennedy</t>
  </si>
  <si>
    <t>QUINTERO QUINTERO ZADDY ASTRID</t>
  </si>
  <si>
    <t>QUINTERO SANCHEZ MARGELIS</t>
  </si>
  <si>
    <t>ROJAS QUINTERO YAJAIRA</t>
  </si>
  <si>
    <t>RUIZ ARIAS CAROLINA</t>
  </si>
  <si>
    <t>SANCHEZ ROJAS DERLY VANESA</t>
  </si>
  <si>
    <t>SEPULVEDA SANCHEZ JEISON STIVEN</t>
  </si>
  <si>
    <t>TORRADO CASTILLA JAQUELINE</t>
  </si>
  <si>
    <t>LEIDY LILIANA URIBE QUINTERO</t>
  </si>
  <si>
    <t>PAEZ CAÑIZARES ANDRES CAMILO</t>
  </si>
  <si>
    <t>BARBOSA VACA ANYI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</si>
</sst>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0"/>
      <name val="Arial"/>
      <charset val="134"/>
    </font>
    <font>
      <sz val="9"/>
      <name val="Verdana"/>
      <charset val="134"/>
    </font>
    <font>
      <b/>
      <sz val="9"/>
      <name val="Verdana"/>
      <charset val="134"/>
    </font>
    <font>
      <b/>
      <sz val="8"/>
      <name val="Verdana"/>
      <charset val="134"/>
    </font>
    <font>
      <sz val="8"/>
      <name val="Verdana"/>
      <charset val="134"/>
    </font>
    <font>
      <b/>
      <sz val="6"/>
      <name val="Verdana"/>
      <charset val="134"/>
    </font>
    <font>
      <b/>
      <sz val="7"/>
      <name val="Verdana"/>
      <charset val="134"/>
    </font>
    <font>
      <sz val="7"/>
      <name val="Verdana"/>
      <charset val="134"/>
    </font>
    <font>
      <sz val="9"/>
      <name val="Arial Narrow"/>
      <charset val="134"/>
    </font>
    <font>
      <sz val="11"/>
      <name val="Arial Narrow"/>
      <charset val="134"/>
    </font>
    <font>
      <b/>
      <sz val="9"/>
      <name val="Arial Narrow"/>
      <charset val="134"/>
    </font>
    <font>
      <b/>
      <sz val="12"/>
      <name val="Arial Narrow"/>
      <charset val="134"/>
    </font>
    <font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vertAlign val="superscript"/>
      <sz val="8"/>
      <name val="Verdana"/>
      <charset val="134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34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/>
      <diagonal/>
    </border>
    <border>
      <left style="thin">
        <color indexed="9"/>
      </left>
      <right/>
      <top/>
      <bottom/>
      <diagonal/>
    </border>
    <border>
      <left style="hair">
        <color auto="1"/>
      </left>
      <right style="thin">
        <color indexed="9"/>
      </right>
      <top style="thin">
        <color indexed="9"/>
      </top>
      <bottom/>
      <diagonal/>
    </border>
    <border>
      <left style="hair">
        <color auto="1"/>
      </left>
      <right style="hair">
        <color auto="1"/>
      </right>
      <top style="thin">
        <color indexed="9"/>
      </top>
      <bottom/>
      <diagonal/>
    </border>
    <border>
      <left style="hair">
        <color auto="1"/>
      </left>
      <right style="thin">
        <color indexed="9"/>
      </right>
      <top style="hair">
        <color auto="1"/>
      </top>
      <bottom style="hair">
        <color auto="1"/>
      </bottom>
      <diagonal/>
    </border>
    <border>
      <left style="thin">
        <color indexed="9"/>
      </left>
      <right style="thin">
        <color indexed="9"/>
      </right>
      <top style="hair">
        <color auto="1"/>
      </top>
      <bottom style="hair">
        <color auto="1"/>
      </bottom>
      <diagonal/>
    </border>
    <border>
      <left style="thin">
        <color indexed="9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auto="1"/>
      </left>
      <right style="hair">
        <color auto="1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auto="1"/>
      </bottom>
      <diagonal/>
    </border>
    <border>
      <left style="hair">
        <color auto="1"/>
      </left>
      <right style="thin">
        <color indexed="9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auto="1"/>
      </left>
      <right style="hair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indexed="9"/>
      </right>
      <top style="thin">
        <color indexed="9"/>
      </top>
      <bottom/>
      <diagonal/>
    </border>
    <border>
      <left style="hair">
        <color auto="1"/>
      </left>
      <right style="hair">
        <color indexed="9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indexed="9"/>
      </right>
      <top/>
      <bottom style="thin">
        <color indexed="9"/>
      </bottom>
      <diagonal/>
    </border>
    <border>
      <left style="hair">
        <color auto="1"/>
      </left>
      <right style="hair">
        <color indexed="9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hair">
        <color auto="1"/>
      </bottom>
      <diagonal/>
    </border>
    <border>
      <left style="thin">
        <color indexed="9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9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indexed="9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hair">
        <color auto="1"/>
      </right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17" fillId="0" borderId="0"/>
  </cellStyleXfs>
  <cellXfs count="338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left" vertical="center"/>
    </xf>
    <xf numFmtId="1" fontId="1" fillId="0" borderId="4" xfId="0" applyNumberFormat="1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horizontal="center" vertical="center"/>
    </xf>
    <xf numFmtId="164" fontId="4" fillId="0" borderId="20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horizontal="center" vertical="center"/>
    </xf>
    <xf numFmtId="164" fontId="4" fillId="0" borderId="22" xfId="0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164" fontId="4" fillId="0" borderId="25" xfId="0" applyNumberFormat="1" applyFont="1" applyBorder="1" applyAlignment="1" applyProtection="1">
      <alignment horizontal="center" vertical="center"/>
    </xf>
    <xf numFmtId="164" fontId="3" fillId="0" borderId="17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1" fontId="4" fillId="0" borderId="19" xfId="0" applyNumberFormat="1" applyFont="1" applyBorder="1" applyAlignment="1" applyProtection="1">
      <alignment horizontal="center" vertical="center"/>
    </xf>
    <xf numFmtId="1" fontId="4" fillId="0" borderId="33" xfId="0" applyNumberFormat="1" applyFont="1" applyBorder="1" applyAlignment="1" applyProtection="1">
      <alignment horizontal="center" vertical="center"/>
    </xf>
    <xf numFmtId="1" fontId="3" fillId="0" borderId="37" xfId="0" applyNumberFormat="1" applyFont="1" applyBorder="1" applyAlignment="1" applyProtection="1">
      <alignment horizontal="center" vertical="center"/>
    </xf>
    <xf numFmtId="1" fontId="4" fillId="0" borderId="40" xfId="0" applyNumberFormat="1" applyFont="1" applyBorder="1" applyAlignment="1" applyProtection="1">
      <alignment horizontal="center" vertical="center"/>
    </xf>
    <xf numFmtId="1" fontId="3" fillId="0" borderId="45" xfId="0" applyNumberFormat="1" applyFont="1" applyBorder="1" applyAlignment="1" applyProtection="1">
      <alignment horizontal="center" vertical="center"/>
    </xf>
    <xf numFmtId="1" fontId="4" fillId="0" borderId="47" xfId="0" applyNumberFormat="1" applyFont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vertical="center" wrapText="1"/>
    </xf>
    <xf numFmtId="1" fontId="3" fillId="0" borderId="16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1" fillId="0" borderId="50" xfId="0" applyFont="1" applyBorder="1" applyAlignment="1" applyProtection="1">
      <alignment vertical="center"/>
    </xf>
    <xf numFmtId="0" fontId="1" fillId="0" borderId="51" xfId="0" applyFont="1" applyBorder="1" applyAlignment="1" applyProtection="1">
      <alignment vertical="center"/>
    </xf>
    <xf numFmtId="0" fontId="1" fillId="0" borderId="5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39" xfId="0" applyFont="1" applyBorder="1" applyAlignment="1" applyProtection="1">
      <alignment vertical="center" wrapText="1"/>
    </xf>
    <xf numFmtId="0" fontId="1" fillId="0" borderId="12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53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vertical="center"/>
    </xf>
    <xf numFmtId="0" fontId="1" fillId="0" borderId="55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4" fillId="0" borderId="40" xfId="0" applyFont="1" applyBorder="1" applyAlignment="1" applyProtection="1">
      <alignment horizontal="center" vertical="center"/>
    </xf>
    <xf numFmtId="164" fontId="4" fillId="0" borderId="3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vertical="center"/>
    </xf>
    <xf numFmtId="0" fontId="1" fillId="0" borderId="56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vertical="center" wrapText="1"/>
    </xf>
    <xf numFmtId="0" fontId="3" fillId="2" borderId="57" xfId="0" applyFont="1" applyFill="1" applyBorder="1" applyAlignment="1" applyProtection="1">
      <alignment horizontal="center" vertical="center" wrapText="1"/>
    </xf>
    <xf numFmtId="0" fontId="1" fillId="0" borderId="55" xfId="0" applyFont="1" applyBorder="1" applyAlignment="1" applyProtection="1">
      <alignment vertical="center" wrapText="1"/>
    </xf>
    <xf numFmtId="164" fontId="4" fillId="0" borderId="19" xfId="0" applyNumberFormat="1" applyFont="1" applyBorder="1" applyAlignment="1" applyProtection="1">
      <alignment horizontal="center" vertical="center"/>
    </xf>
    <xf numFmtId="164" fontId="4" fillId="0" borderId="58" xfId="0" applyNumberFormat="1" applyFont="1" applyBorder="1" applyAlignment="1" applyProtection="1">
      <alignment horizontal="center" vertical="center"/>
    </xf>
    <xf numFmtId="164" fontId="4" fillId="0" borderId="33" xfId="0" applyNumberFormat="1" applyFont="1" applyBorder="1" applyAlignment="1" applyProtection="1">
      <alignment horizontal="center" vertical="center"/>
    </xf>
    <xf numFmtId="164" fontId="4" fillId="0" borderId="59" xfId="0" applyNumberFormat="1" applyFont="1" applyBorder="1" applyAlignment="1" applyProtection="1">
      <alignment horizontal="center" vertical="center"/>
    </xf>
    <xf numFmtId="164" fontId="3" fillId="0" borderId="37" xfId="0" applyNumberFormat="1" applyFont="1" applyBorder="1" applyAlignment="1" applyProtection="1">
      <alignment horizontal="center" vertical="center"/>
    </xf>
    <xf numFmtId="164" fontId="3" fillId="0" borderId="60" xfId="0" applyNumberFormat="1" applyFont="1" applyBorder="1" applyAlignment="1" applyProtection="1">
      <alignment horizontal="center" vertical="center"/>
    </xf>
    <xf numFmtId="164" fontId="4" fillId="0" borderId="40" xfId="0" applyNumberFormat="1" applyFont="1" applyBorder="1" applyAlignment="1" applyProtection="1">
      <alignment horizontal="center" vertical="center"/>
    </xf>
    <xf numFmtId="164" fontId="4" fillId="0" borderId="61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/>
    </xf>
    <xf numFmtId="164" fontId="3" fillId="0" borderId="62" xfId="0" applyNumberFormat="1" applyFont="1" applyBorder="1" applyAlignment="1" applyProtection="1">
      <alignment horizontal="center" vertical="center"/>
    </xf>
    <xf numFmtId="164" fontId="4" fillId="0" borderId="47" xfId="0" applyNumberFormat="1" applyFont="1" applyBorder="1" applyAlignment="1" applyProtection="1">
      <alignment horizontal="center" vertical="center"/>
    </xf>
    <xf numFmtId="164" fontId="4" fillId="0" borderId="63" xfId="0" applyNumberFormat="1" applyFont="1" applyBorder="1" applyAlignment="1" applyProtection="1">
      <alignment horizontal="center" vertical="center"/>
    </xf>
    <xf numFmtId="164" fontId="3" fillId="0" borderId="16" xfId="0" applyNumberFormat="1" applyFont="1" applyBorder="1" applyAlignment="1" applyProtection="1">
      <alignment horizontal="center" vertical="center"/>
    </xf>
    <xf numFmtId="164" fontId="3" fillId="0" borderId="57" xfId="0" applyNumberFormat="1" applyFont="1" applyBorder="1" applyAlignment="1" applyProtection="1">
      <alignment horizontal="center" vertical="center"/>
    </xf>
    <xf numFmtId="0" fontId="1" fillId="0" borderId="53" xfId="0" applyFont="1" applyBorder="1" applyAlignment="1" applyProtection="1">
      <alignment vertical="center" wrapText="1"/>
    </xf>
    <xf numFmtId="0" fontId="1" fillId="0" borderId="64" xfId="0" applyFont="1" applyBorder="1" applyAlignment="1" applyProtection="1">
      <alignment vertical="center" wrapText="1"/>
    </xf>
    <xf numFmtId="0" fontId="1" fillId="0" borderId="65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1" fontId="7" fillId="0" borderId="68" xfId="0" applyNumberFormat="1" applyFont="1" applyBorder="1" applyAlignment="1" applyProtection="1">
      <alignment horizontal="center" vertical="center"/>
    </xf>
    <xf numFmtId="164" fontId="7" fillId="0" borderId="69" xfId="0" applyNumberFormat="1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164" fontId="7" fillId="0" borderId="34" xfId="0" applyNumberFormat="1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164" fontId="7" fillId="0" borderId="42" xfId="0" applyNumberFormat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164" fontId="3" fillId="0" borderId="17" xfId="0" applyNumberFormat="1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/>
    </xf>
    <xf numFmtId="0" fontId="1" fillId="0" borderId="26" xfId="0" applyFont="1" applyBorder="1" applyAlignment="1" applyProtection="1">
      <alignment vertical="center" wrapText="1"/>
    </xf>
    <xf numFmtId="0" fontId="1" fillId="0" borderId="51" xfId="0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vertical="center" wrapText="1"/>
    </xf>
    <xf numFmtId="0" fontId="1" fillId="0" borderId="74" xfId="0" applyFont="1" applyBorder="1" applyAlignment="1" applyProtection="1">
      <alignment vertical="center" wrapText="1"/>
    </xf>
    <xf numFmtId="0" fontId="3" fillId="0" borderId="29" xfId="0" applyFont="1" applyBorder="1" applyAlignment="1" applyProtection="1">
      <alignment horizontal="center" vertical="center" wrapText="1"/>
    </xf>
    <xf numFmtId="1" fontId="7" fillId="0" borderId="77" xfId="0" applyNumberFormat="1" applyFont="1" applyBorder="1" applyAlignment="1" applyProtection="1">
      <alignment horizontal="center" vertical="center" wrapText="1"/>
    </xf>
    <xf numFmtId="164" fontId="7" fillId="0" borderId="78" xfId="0" applyNumberFormat="1" applyFont="1" applyBorder="1" applyAlignment="1" applyProtection="1">
      <alignment horizontal="center" vertical="center" wrapText="1"/>
    </xf>
    <xf numFmtId="1" fontId="7" fillId="0" borderId="37" xfId="0" applyNumberFormat="1" applyFont="1" applyBorder="1" applyAlignment="1" applyProtection="1">
      <alignment horizontal="center" vertical="center" wrapText="1"/>
    </xf>
    <xf numFmtId="164" fontId="7" fillId="0" borderId="79" xfId="0" applyNumberFormat="1" applyFont="1" applyBorder="1" applyAlignment="1" applyProtection="1">
      <alignment horizontal="center" vertical="center" wrapText="1"/>
    </xf>
    <xf numFmtId="1" fontId="7" fillId="0" borderId="81" xfId="0" applyNumberFormat="1" applyFont="1" applyBorder="1" applyAlignment="1" applyProtection="1">
      <alignment horizontal="center" vertical="center" wrapText="1"/>
    </xf>
    <xf numFmtId="164" fontId="7" fillId="0" borderId="82" xfId="0" applyNumberFormat="1" applyFont="1" applyBorder="1" applyAlignment="1" applyProtection="1">
      <alignment horizontal="center" vertical="center" wrapText="1"/>
    </xf>
    <xf numFmtId="1" fontId="3" fillId="0" borderId="16" xfId="0" applyNumberFormat="1" applyFont="1" applyBorder="1" applyAlignment="1" applyProtection="1">
      <alignment horizontal="center" vertical="center" wrapText="1"/>
    </xf>
    <xf numFmtId="164" fontId="3" fillId="0" borderId="29" xfId="0" applyNumberFormat="1" applyFont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right" vertical="center"/>
    </xf>
    <xf numFmtId="0" fontId="4" fillId="0" borderId="47" xfId="0" applyFont="1" applyBorder="1" applyAlignment="1" applyProtection="1">
      <alignment horizontal="center" vertical="center"/>
    </xf>
    <xf numFmtId="164" fontId="4" fillId="0" borderId="4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4" fillId="0" borderId="85" xfId="0" applyFont="1" applyBorder="1" applyAlignment="1" applyProtection="1">
      <alignment vertical="center"/>
    </xf>
    <xf numFmtId="0" fontId="4" fillId="0" borderId="86" xfId="0" applyFont="1" applyBorder="1" applyAlignment="1" applyProtection="1">
      <alignment vertical="center"/>
    </xf>
    <xf numFmtId="0" fontId="7" fillId="0" borderId="68" xfId="0" applyFont="1" applyBorder="1" applyAlignment="1" applyProtection="1">
      <alignment horizontal="center" vertical="center"/>
    </xf>
    <xf numFmtId="0" fontId="1" fillId="0" borderId="87" xfId="0" applyFont="1" applyBorder="1" applyAlignment="1" applyProtection="1">
      <alignment vertical="center" wrapText="1"/>
    </xf>
    <xf numFmtId="0" fontId="1" fillId="0" borderId="52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" fontId="9" fillId="0" borderId="0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1" fontId="9" fillId="0" borderId="0" xfId="0" applyNumberFormat="1" applyFont="1" applyFill="1" applyBorder="1" applyAlignment="1" applyProtection="1">
      <alignment horizontal="right" vertical="center"/>
    </xf>
    <xf numFmtId="0" fontId="13" fillId="2" borderId="4" xfId="0" applyFont="1" applyFill="1" applyBorder="1" applyAlignment="1" applyProtection="1">
      <alignment horizontal="center" vertical="center" wrapText="1"/>
    </xf>
    <xf numFmtId="1" fontId="8" fillId="2" borderId="0" xfId="0" applyNumberFormat="1" applyFont="1" applyFill="1" applyBorder="1" applyAlignment="1" applyProtection="1">
      <alignment horizontal="center" vertical="center" wrapText="1"/>
    </xf>
    <xf numFmtId="1" fontId="12" fillId="0" borderId="88" xfId="0" applyNumberFormat="1" applyFont="1" applyBorder="1" applyAlignment="1" applyProtection="1">
      <alignment horizontal="center" vertical="center" wrapText="1"/>
      <protection locked="0"/>
    </xf>
    <xf numFmtId="0" fontId="14" fillId="3" borderId="89" xfId="0" applyFont="1" applyFill="1" applyBorder="1" applyAlignment="1" applyProtection="1">
      <alignment horizontal="center"/>
      <protection locked="0"/>
    </xf>
    <xf numFmtId="1" fontId="0" fillId="3" borderId="89" xfId="0" applyNumberFormat="1" applyFill="1" applyBorder="1" applyAlignment="1" applyProtection="1">
      <alignment horizontal="center"/>
      <protection locked="0"/>
    </xf>
    <xf numFmtId="0" fontId="14" fillId="3" borderId="89" xfId="0" applyFont="1" applyFill="1" applyBorder="1" applyAlignment="1" applyProtection="1">
      <alignment horizontal="left"/>
      <protection locked="0"/>
    </xf>
    <xf numFmtId="0" fontId="14" fillId="0" borderId="89" xfId="0" applyFont="1" applyBorder="1" applyAlignment="1" applyProtection="1">
      <alignment horizontal="center"/>
      <protection locked="0"/>
    </xf>
    <xf numFmtId="0" fontId="0" fillId="0" borderId="89" xfId="0" applyBorder="1" applyAlignment="1" applyProtection="1">
      <alignment horizontal="center"/>
      <protection locked="0"/>
    </xf>
    <xf numFmtId="0" fontId="14" fillId="3" borderId="89" xfId="0" applyFont="1" applyFill="1" applyBorder="1" applyProtection="1">
      <protection locked="0"/>
    </xf>
    <xf numFmtId="0" fontId="14" fillId="0" borderId="89" xfId="0" applyFont="1" applyBorder="1" applyAlignment="1" applyProtection="1">
      <alignment horizontal="left"/>
      <protection locked="0"/>
    </xf>
    <xf numFmtId="1" fontId="0" fillId="0" borderId="89" xfId="0" applyNumberFormat="1" applyBorder="1" applyAlignment="1" applyProtection="1">
      <alignment horizontal="center"/>
      <protection locked="0"/>
    </xf>
    <xf numFmtId="0" fontId="0" fillId="3" borderId="89" xfId="0" applyFill="1" applyBorder="1" applyAlignment="1" applyProtection="1">
      <alignment horizontal="center"/>
      <protection locked="0"/>
    </xf>
    <xf numFmtId="0" fontId="0" fillId="3" borderId="89" xfId="0" applyFill="1" applyBorder="1" applyAlignment="1" applyProtection="1">
      <alignment horizontal="left"/>
      <protection locked="0"/>
    </xf>
    <xf numFmtId="0" fontId="0" fillId="0" borderId="89" xfId="0" applyFill="1" applyBorder="1" applyAlignment="1" applyProtection="1">
      <alignment horizontal="center"/>
      <protection locked="0"/>
    </xf>
    <xf numFmtId="0" fontId="0" fillId="3" borderId="89" xfId="0" applyFill="1" applyBorder="1" applyProtection="1">
      <protection locked="0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67" xfId="0" applyFont="1" applyFill="1" applyBorder="1" applyAlignment="1" applyProtection="1">
      <alignment horizontal="center" vertical="center" wrapText="1"/>
    </xf>
    <xf numFmtId="0" fontId="9" fillId="0" borderId="68" xfId="0" applyFont="1" applyFill="1" applyBorder="1" applyAlignment="1" applyProtection="1">
      <alignment horizontal="center" vertical="center" wrapText="1"/>
    </xf>
    <xf numFmtId="0" fontId="9" fillId="0" borderId="73" xfId="0" applyFont="1" applyFill="1" applyBorder="1" applyAlignment="1" applyProtection="1">
      <alignment horizontal="left" vertical="center" wrapText="1"/>
    </xf>
    <xf numFmtId="0" fontId="9" fillId="0" borderId="45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4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1" fontId="8" fillId="0" borderId="0" xfId="0" applyNumberFormat="1" applyFont="1" applyBorder="1" applyAlignment="1" applyProtection="1">
      <alignment horizontal="center" vertical="center" wrapText="1"/>
    </xf>
    <xf numFmtId="1" fontId="8" fillId="0" borderId="0" xfId="0" applyNumberFormat="1" applyFont="1" applyBorder="1" applyAlignment="1" applyProtection="1">
      <alignment horizontal="left" vertical="center" wrapText="1"/>
    </xf>
    <xf numFmtId="164" fontId="10" fillId="0" borderId="0" xfId="0" applyNumberFormat="1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 wrapText="1"/>
    </xf>
    <xf numFmtId="1" fontId="11" fillId="0" borderId="0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1" fontId="9" fillId="0" borderId="0" xfId="0" applyNumberFormat="1" applyFont="1" applyBorder="1" applyAlignment="1" applyProtection="1">
      <alignment horizontal="center" vertical="center"/>
    </xf>
    <xf numFmtId="1" fontId="9" fillId="0" borderId="0" xfId="0" applyNumberFormat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NumberFormat="1" applyFont="1" applyBorder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right" vertical="center"/>
    </xf>
    <xf numFmtId="164" fontId="9" fillId="0" borderId="0" xfId="0" applyNumberFormat="1" applyFont="1" applyBorder="1" applyAlignment="1" applyProtection="1">
      <alignment horizontal="right" vertical="center"/>
    </xf>
    <xf numFmtId="164" fontId="9" fillId="0" borderId="0" xfId="0" applyNumberFormat="1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13" fillId="2" borderId="5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67" xfId="0" applyFont="1" applyBorder="1" applyAlignment="1" applyProtection="1">
      <alignment horizontal="center" vertical="center" wrapText="1"/>
    </xf>
    <xf numFmtId="0" fontId="9" fillId="0" borderId="68" xfId="0" applyFont="1" applyBorder="1" applyAlignment="1" applyProtection="1">
      <alignment horizontal="center" vertical="center" wrapText="1"/>
    </xf>
    <xf numFmtId="0" fontId="9" fillId="0" borderId="73" xfId="0" applyFont="1" applyBorder="1" applyAlignment="1" applyProtection="1">
      <alignment horizontal="left" vertical="center" wrapText="1"/>
    </xf>
    <xf numFmtId="0" fontId="9" fillId="0" borderId="45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9" fillId="0" borderId="45" xfId="0" applyFont="1" applyBorder="1" applyAlignment="1" applyProtection="1">
      <alignment horizontal="center" vertical="center" wrapText="1"/>
    </xf>
    <xf numFmtId="1" fontId="12" fillId="0" borderId="91" xfId="0" applyNumberFormat="1" applyFont="1" applyBorder="1" applyAlignment="1" applyProtection="1">
      <alignment horizontal="center" vertical="center" wrapText="1"/>
      <protection locked="0"/>
    </xf>
    <xf numFmtId="0" fontId="14" fillId="3" borderId="92" xfId="0" applyFont="1" applyFill="1" applyBorder="1" applyAlignment="1" applyProtection="1">
      <alignment horizontal="center"/>
      <protection locked="0"/>
    </xf>
    <xf numFmtId="0" fontId="15" fillId="0" borderId="92" xfId="0" applyFont="1" applyBorder="1" applyAlignment="1" applyProtection="1">
      <alignment horizontal="center"/>
      <protection locked="0"/>
    </xf>
    <xf numFmtId="0" fontId="15" fillId="0" borderId="92" xfId="0" applyFont="1" applyBorder="1" applyProtection="1">
      <protection locked="0"/>
    </xf>
    <xf numFmtId="0" fontId="14" fillId="3" borderId="92" xfId="0" applyFont="1" applyFill="1" applyBorder="1" applyAlignment="1" applyProtection="1">
      <alignment horizontal="left"/>
      <protection locked="0"/>
    </xf>
    <xf numFmtId="1" fontId="0" fillId="3" borderId="92" xfId="0" applyNumberFormat="1" applyFill="1" applyBorder="1" applyAlignment="1" applyProtection="1">
      <alignment horizontal="center"/>
      <protection locked="0"/>
    </xf>
    <xf numFmtId="0" fontId="0" fillId="3" borderId="92" xfId="0" applyFill="1" applyBorder="1" applyAlignment="1" applyProtection="1">
      <alignment horizontal="center"/>
      <protection locked="0"/>
    </xf>
    <xf numFmtId="1" fontId="8" fillId="2" borderId="90" xfId="0" applyNumberFormat="1" applyFont="1" applyFill="1" applyBorder="1" applyAlignment="1" applyProtection="1">
      <alignment horizontal="center" vertical="center" wrapText="1"/>
    </xf>
    <xf numFmtId="1" fontId="12" fillId="0" borderId="90" xfId="0" applyNumberFormat="1" applyFont="1" applyBorder="1" applyAlignment="1" applyProtection="1">
      <alignment horizontal="center" vertical="center" wrapText="1"/>
      <protection locked="0"/>
    </xf>
    <xf numFmtId="0" fontId="0" fillId="3" borderId="90" xfId="0" applyFont="1" applyFill="1" applyBorder="1" applyAlignment="1" applyProtection="1">
      <alignment horizontal="center"/>
      <protection locked="0"/>
    </xf>
    <xf numFmtId="0" fontId="14" fillId="3" borderId="90" xfId="0" applyFont="1" applyFill="1" applyBorder="1" applyAlignment="1" applyProtection="1">
      <alignment horizontal="center"/>
      <protection locked="0"/>
    </xf>
    <xf numFmtId="0" fontId="15" fillId="0" borderId="90" xfId="0" applyFont="1" applyBorder="1" applyAlignment="1" applyProtection="1">
      <alignment horizontal="center"/>
      <protection locked="0"/>
    </xf>
    <xf numFmtId="0" fontId="15" fillId="0" borderId="90" xfId="0" applyFont="1" applyBorder="1" applyProtection="1">
      <protection locked="0"/>
    </xf>
    <xf numFmtId="1" fontId="0" fillId="3" borderId="90" xfId="0" applyNumberFormat="1" applyFill="1" applyBorder="1" applyAlignment="1" applyProtection="1">
      <alignment horizontal="center"/>
      <protection locked="0"/>
    </xf>
    <xf numFmtId="0" fontId="16" fillId="0" borderId="90" xfId="0" applyFont="1" applyBorder="1" applyProtection="1">
      <protection locked="0"/>
    </xf>
    <xf numFmtId="0" fontId="0" fillId="3" borderId="90" xfId="0" applyFill="1" applyBorder="1" applyAlignment="1" applyProtection="1">
      <alignment horizontal="center"/>
      <protection locked="0"/>
    </xf>
    <xf numFmtId="164" fontId="8" fillId="0" borderId="90" xfId="0" applyNumberFormat="1" applyFont="1" applyFill="1" applyBorder="1" applyAlignment="1" applyProtection="1">
      <alignment horizontal="center" vertical="center" wrapText="1"/>
    </xf>
    <xf numFmtId="164" fontId="10" fillId="0" borderId="90" xfId="0" applyNumberFormat="1" applyFont="1" applyFill="1" applyBorder="1" applyAlignment="1" applyProtection="1">
      <alignment horizontal="center" vertical="center" wrapText="1"/>
    </xf>
    <xf numFmtId="0" fontId="10" fillId="0" borderId="90" xfId="0" applyFont="1" applyFill="1" applyBorder="1" applyAlignment="1" applyProtection="1">
      <alignment horizontal="center" vertical="center" wrapText="1"/>
    </xf>
    <xf numFmtId="0" fontId="19" fillId="0" borderId="90" xfId="0" applyFont="1" applyBorder="1" applyAlignment="1" applyProtection="1">
      <alignment horizontal="center"/>
      <protection locked="0"/>
    </xf>
    <xf numFmtId="0" fontId="14" fillId="0" borderId="90" xfId="0" applyFont="1" applyBorder="1" applyAlignment="1" applyProtection="1">
      <alignment horizontal="center"/>
      <protection locked="0"/>
    </xf>
    <xf numFmtId="0" fontId="0" fillId="0" borderId="90" xfId="0" applyBorder="1" applyAlignment="1" applyProtection="1">
      <alignment horizontal="center"/>
      <protection locked="0"/>
    </xf>
    <xf numFmtId="0" fontId="0" fillId="0" borderId="90" xfId="0" applyBorder="1" applyAlignment="1" applyProtection="1">
      <alignment horizontal="right"/>
      <protection locked="0"/>
    </xf>
    <xf numFmtId="0" fontId="19" fillId="0" borderId="90" xfId="0" applyFont="1" applyBorder="1" applyProtection="1">
      <protection locked="0"/>
    </xf>
    <xf numFmtId="0" fontId="14" fillId="0" borderId="90" xfId="0" applyFont="1" applyFill="1" applyBorder="1" applyAlignment="1" applyProtection="1">
      <alignment horizontal="left" vertical="top"/>
      <protection locked="0"/>
    </xf>
    <xf numFmtId="1" fontId="0" fillId="0" borderId="90" xfId="0" applyNumberFormat="1" applyBorder="1" applyAlignment="1" applyProtection="1">
      <alignment horizontal="center"/>
      <protection locked="0"/>
    </xf>
    <xf numFmtId="0" fontId="14" fillId="0" borderId="90" xfId="0" applyFont="1" applyFill="1" applyBorder="1" applyAlignment="1" applyProtection="1">
      <alignment horizontal="center"/>
      <protection locked="0"/>
    </xf>
    <xf numFmtId="0" fontId="20" fillId="0" borderId="90" xfId="0" applyFont="1" applyBorder="1" applyAlignment="1" applyProtection="1">
      <alignment horizontal="center" vertical="center"/>
      <protection locked="0"/>
    </xf>
    <xf numFmtId="164" fontId="10" fillId="0" borderId="90" xfId="0" applyNumberFormat="1" applyFont="1" applyBorder="1" applyAlignment="1" applyProtection="1">
      <alignment horizontal="center" vertical="center" wrapText="1"/>
    </xf>
    <xf numFmtId="0" fontId="19" fillId="0" borderId="90" xfId="0" applyFont="1" applyFill="1" applyBorder="1" applyAlignment="1" applyProtection="1">
      <alignment horizontal="left" vertical="top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0" fillId="0" borderId="90" xfId="0" applyFill="1" applyBorder="1" applyAlignment="1" applyProtection="1">
      <alignment horizontal="right"/>
      <protection locked="0"/>
    </xf>
    <xf numFmtId="0" fontId="19" fillId="0" borderId="90" xfId="0" applyFont="1" applyFill="1" applyBorder="1" applyProtection="1">
      <protection locked="0"/>
    </xf>
    <xf numFmtId="1" fontId="0" fillId="0" borderId="90" xfId="0" applyNumberFormat="1" applyFill="1" applyBorder="1" applyAlignment="1" applyProtection="1">
      <alignment horizontal="center"/>
      <protection locked="0"/>
    </xf>
    <xf numFmtId="0" fontId="0" fillId="0" borderId="90" xfId="0" applyFill="1" applyBorder="1" applyAlignment="1" applyProtection="1">
      <alignment horizontal="center"/>
      <protection locked="0"/>
    </xf>
    <xf numFmtId="0" fontId="12" fillId="0" borderId="90" xfId="0" applyFont="1" applyFill="1" applyBorder="1" applyAlignment="1" applyProtection="1">
      <alignment horizontal="center" vertical="center"/>
      <protection locked="0"/>
    </xf>
    <xf numFmtId="0" fontId="12" fillId="0" borderId="90" xfId="0" applyFont="1" applyBorder="1" applyAlignment="1" applyProtection="1">
      <alignment horizontal="center" vertical="center"/>
      <protection locked="0"/>
    </xf>
    <xf numFmtId="0" fontId="0" fillId="0" borderId="90" xfId="0" applyFill="1" applyBorder="1" applyProtection="1"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1" fontId="12" fillId="0" borderId="90" xfId="0" applyNumberFormat="1" applyFont="1" applyFill="1" applyBorder="1" applyAlignment="1" applyProtection="1">
      <alignment horizontal="center" vertical="center" wrapText="1"/>
      <protection locked="0"/>
    </xf>
    <xf numFmtId="1" fontId="21" fillId="0" borderId="9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90" xfId="0" applyFont="1" applyFill="1" applyBorder="1" applyAlignment="1" applyProtection="1">
      <alignment horizontal="center"/>
      <protection locked="0"/>
    </xf>
    <xf numFmtId="0" fontId="22" fillId="0" borderId="90" xfId="0" applyNumberFormat="1" applyFont="1" applyFill="1" applyBorder="1" applyAlignment="1" applyProtection="1">
      <alignment horizontal="right" vertical="center" wrapText="1"/>
    </xf>
    <xf numFmtId="0" fontId="22" fillId="0" borderId="90" xfId="0" applyFont="1" applyFill="1" applyBorder="1" applyAlignment="1" applyProtection="1">
      <alignment horizontal="left" vertical="center" wrapText="1"/>
    </xf>
    <xf numFmtId="1" fontId="8" fillId="0" borderId="90" xfId="0" applyNumberFormat="1" applyFont="1" applyFill="1" applyBorder="1" applyAlignment="1" applyProtection="1">
      <alignment horizontal="center" vertical="center" wrapText="1"/>
    </xf>
    <xf numFmtId="0" fontId="22" fillId="0" borderId="90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71" xfId="0" applyFont="1" applyBorder="1" applyAlignment="1" applyProtection="1">
      <alignment horizontal="left" vertical="center"/>
    </xf>
    <xf numFmtId="0" fontId="7" fillId="0" borderId="37" xfId="0" applyFont="1" applyBorder="1" applyAlignment="1" applyProtection="1">
      <alignment horizontal="left" vertical="center"/>
    </xf>
    <xf numFmtId="0" fontId="7" fillId="0" borderId="80" xfId="0" applyFont="1" applyBorder="1" applyAlignment="1" applyProtection="1">
      <alignment horizontal="left" vertical="center"/>
    </xf>
    <xf numFmtId="0" fontId="7" fillId="0" borderId="81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 textRotation="90" wrapText="1"/>
    </xf>
    <xf numFmtId="0" fontId="5" fillId="0" borderId="31" xfId="0" applyFont="1" applyBorder="1" applyAlignment="1" applyProtection="1">
      <alignment horizontal="center" vertical="center" textRotation="90" wrapText="1"/>
    </xf>
    <xf numFmtId="0" fontId="5" fillId="0" borderId="41" xfId="0" applyFont="1" applyBorder="1" applyAlignment="1" applyProtection="1">
      <alignment horizontal="center" vertical="center" textRotation="90" wrapText="1"/>
    </xf>
    <xf numFmtId="0" fontId="7" fillId="0" borderId="72" xfId="0" applyFont="1" applyBorder="1" applyAlignment="1" applyProtection="1">
      <alignment horizontal="left" vertical="center" wrapText="1"/>
    </xf>
    <xf numFmtId="0" fontId="7" fillId="0" borderId="73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7" fillId="0" borderId="66" xfId="0" applyFont="1" applyBorder="1" applyAlignment="1" applyProtection="1">
      <alignment horizontal="left" vertical="center" wrapText="1"/>
    </xf>
    <xf numFmtId="0" fontId="7" fillId="0" borderId="67" xfId="0" applyFont="1" applyBorder="1" applyAlignment="1" applyProtection="1">
      <alignment horizontal="left" vertical="center"/>
    </xf>
    <xf numFmtId="0" fontId="7" fillId="0" borderId="76" xfId="0" applyFont="1" applyBorder="1" applyAlignment="1" applyProtection="1">
      <alignment horizontal="left" vertical="center"/>
    </xf>
    <xf numFmtId="0" fontId="7" fillId="0" borderId="77" xfId="0" applyFont="1" applyBorder="1" applyAlignment="1" applyProtection="1">
      <alignment horizontal="left" vertical="center"/>
    </xf>
    <xf numFmtId="0" fontId="7" fillId="0" borderId="70" xfId="0" applyFont="1" applyBorder="1" applyAlignment="1" applyProtection="1">
      <alignment horizontal="left" vertical="center" wrapText="1"/>
    </xf>
    <xf numFmtId="0" fontId="3" fillId="0" borderId="42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left" vertical="center"/>
    </xf>
    <xf numFmtId="0" fontId="3" fillId="0" borderId="48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75" xfId="0" applyFont="1" applyFill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4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left" vertical="center"/>
    </xf>
    <xf numFmtId="0" fontId="4" fillId="0" borderId="8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8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</cellStyles>
  <dxfs count="7">
    <dxf>
      <font>
        <color indexed="9"/>
      </font>
    </dxf>
    <dxf>
      <font>
        <u/>
      </font>
    </dxf>
    <dxf>
      <font>
        <color indexed="9"/>
      </font>
    </dxf>
    <dxf>
      <font>
        <u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"/>
          <c:y val="1.4285714285714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97E-2"/>
          <c:y val="0.14285714285714299"/>
          <c:w val="0.92992767016970102"/>
          <c:h val="0.528571428571429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2958-49F9-87ED-4010B727C0D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2958-49F9-87ED-4010B727C0D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2958-49F9-87ED-4010B727C0DA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958-49F9-87ED-4010B727C0DA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958-49F9-87ED-4010B727C0DA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958-49F9-87ED-4010B727C0DA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958-49F9-87ED-4010B727C0DA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958-49F9-87ED-4010B727C0DA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958-49F9-87ED-4010B727C0DA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958-49F9-87ED-4010B727C0DA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958-49F9-87ED-4010B727C0DA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958-49F9-87ED-4010B727C0DA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958-49F9-87ED-4010B727C0DA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958-49F9-87ED-4010B727C0DA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958-49F9-87ED-4010B727C0DA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txPr>
              <a:bodyPr rot="-270000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s-MX" sz="62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90.785714285714292</c:v>
                </c:pt>
                <c:pt idx="1">
                  <c:v>90.678571428571431</c:v>
                </c:pt>
                <c:pt idx="2">
                  <c:v>90.642857142857139</c:v>
                </c:pt>
                <c:pt idx="3">
                  <c:v>90.571428571428569</c:v>
                </c:pt>
                <c:pt idx="4">
                  <c:v>90.669642857142861</c:v>
                </c:pt>
                <c:pt idx="5">
                  <c:v>90.785714285714292</c:v>
                </c:pt>
                <c:pt idx="6">
                  <c:v>91.285714285714292</c:v>
                </c:pt>
                <c:pt idx="7">
                  <c:v>91.035714285714292</c:v>
                </c:pt>
                <c:pt idx="8">
                  <c:v>91.035714285714292</c:v>
                </c:pt>
                <c:pt idx="9">
                  <c:v>90.821428571428569</c:v>
                </c:pt>
                <c:pt idx="10">
                  <c:v>90.928571428571431</c:v>
                </c:pt>
                <c:pt idx="11">
                  <c:v>91.392857142857139</c:v>
                </c:pt>
                <c:pt idx="12">
                  <c:v>91.392857142857139</c:v>
                </c:pt>
                <c:pt idx="13">
                  <c:v>91.392857142857139</c:v>
                </c:pt>
                <c:pt idx="14">
                  <c:v>91.381851851851863</c:v>
                </c:pt>
                <c:pt idx="15">
                  <c:v>90.993749999999991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958-49F9-87ED-4010B727C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1102623"/>
        <c:axId val="1"/>
      </c:barChart>
      <c:catAx>
        <c:axId val="188110262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es-MX" sz="600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25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CO"/>
          </a:p>
        </c:txPr>
        <c:crossAx val="1881102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a52cd27-6334-4038-ad3a-a97ac7d5b871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11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399"/>
          <c:y val="2.29508196721311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299"/>
          <c:y val="0.47540983606557402"/>
          <c:w val="0.43464190998362801"/>
          <c:h val="0.1704918032786890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02-4716-94B7-94CF37DC175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02-4716-94B7-94CF37DC175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02-4716-94B7-94CF37DC175B}"/>
              </c:ext>
            </c:extLst>
          </c:dPt>
          <c:dLbls>
            <c:dLbl>
              <c:idx val="0"/>
              <c:layout>
                <c:manualLayout>
                  <c:x val="2.6849893789574E-2"/>
                  <c:y val="-0.43521190998666098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02-4716-94B7-94CF37DC175B}"/>
                </c:ext>
              </c:extLst>
            </c:dLbl>
            <c:dLbl>
              <c:idx val="1"/>
              <c:layout>
                <c:manualLayout>
                  <c:x val="3.9740037904356504E-3"/>
                  <c:y val="-0.1823935286777680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02-4716-94B7-94CF37DC175B}"/>
                </c:ext>
              </c:extLst>
            </c:dLbl>
            <c:dLbl>
              <c:idx val="2"/>
              <c:layout>
                <c:manualLayout>
                  <c:x val="2.3734243403421802E-2"/>
                  <c:y val="-0.179114840153178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02-4716-94B7-94CF37DC175B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57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8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02-4716-94B7-94CF37DC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  <c:extLst>
      <c:ext uri="{0b15fc19-7d7d-44ad-8c2d-2c3a37ce22c3}">
        <chartProps xmlns="https://web.wps.cn/et/2018/main" chartId="{182725a4-1499-408e-b3b0-9e0d54d46c61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8"/>
          <c:y val="2.164502164502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99"/>
          <c:y val="0.207793086246475"/>
          <c:w val="0.56756831657558704"/>
          <c:h val="0.597405122958616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6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15.476190476190476</c:v>
                </c:pt>
                <c:pt idx="1">
                  <c:v>8.3333333333333339</c:v>
                </c:pt>
                <c:pt idx="2">
                  <c:v>29.761904761904763</c:v>
                </c:pt>
                <c:pt idx="3">
                  <c:v>9.5238095238095237</c:v>
                </c:pt>
                <c:pt idx="4">
                  <c:v>17.857142857142858</c:v>
                </c:pt>
                <c:pt idx="5">
                  <c:v>16.666666666666668</c:v>
                </c:pt>
                <c:pt idx="6">
                  <c:v>2.3809523809523809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D-4788-AE31-BF7DEAF96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108031"/>
        <c:axId val="1"/>
      </c:barChart>
      <c:catAx>
        <c:axId val="18811080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MX" sz="800" b="1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296"/>
              <c:y val="0.891778527684039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CO"/>
          </a:p>
        </c:txPr>
        <c:crossAx val="1881108031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f956e6a-b8a7-434e-8566-d020e2a813bd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"/>
          <c:y val="1.4285714285714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97E-2"/>
          <c:y val="0.14571428571428599"/>
          <c:w val="0.92992767016970102"/>
          <c:h val="0.528571428571429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102A-49E6-AD36-2568BA7A557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102A-49E6-AD36-2568BA7A557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102A-49E6-AD36-2568BA7A557F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02A-49E6-AD36-2568BA7A557F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02A-49E6-AD36-2568BA7A557F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02A-49E6-AD36-2568BA7A557F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02A-49E6-AD36-2568BA7A557F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02A-49E6-AD36-2568BA7A557F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102A-49E6-AD36-2568BA7A557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102A-49E6-AD36-2568BA7A557F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102A-49E6-AD36-2568BA7A557F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102A-49E6-AD36-2568BA7A557F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02A-49E6-AD36-2568BA7A557F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102A-49E6-AD36-2568BA7A557F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102A-49E6-AD36-2568BA7A557F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102A-49E6-AD36-2568BA7A557F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txPr>
              <a:bodyPr rot="-270000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s-MX" sz="62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93</c:v>
                </c:pt>
                <c:pt idx="1">
                  <c:v>94</c:v>
                </c:pt>
                <c:pt idx="2">
                  <c:v>93.5</c:v>
                </c:pt>
                <c:pt idx="3">
                  <c:v>94</c:v>
                </c:pt>
                <c:pt idx="4">
                  <c:v>95</c:v>
                </c:pt>
                <c:pt idx="5">
                  <c:v>94.5</c:v>
                </c:pt>
                <c:pt idx="6">
                  <c:v>94</c:v>
                </c:pt>
                <c:pt idx="7">
                  <c:v>93</c:v>
                </c:pt>
                <c:pt idx="8">
                  <c:v>93.5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93</c:v>
                </c:pt>
                <c:pt idx="13">
                  <c:v>95</c:v>
                </c:pt>
                <c:pt idx="14">
                  <c:v>93</c:v>
                </c:pt>
                <c:pt idx="15">
                  <c:v>93.666666666666671</c:v>
                </c:pt>
                <c:pt idx="16">
                  <c:v>93.824999999999989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02A-49E6-AD36-2568BA7A5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34287583"/>
        <c:axId val="1"/>
      </c:barChart>
      <c:catAx>
        <c:axId val="1834287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es-MX" sz="600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25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CO"/>
          </a:p>
        </c:txPr>
        <c:crossAx val="1834287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5086eab-6364-463c-bbf6-ec11a0f039f3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11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399"/>
          <c:y val="2.29508196721311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897"/>
          <c:y val="0.48196721311475399"/>
          <c:w val="0.40196206712771598"/>
          <c:h val="0.16065573770491801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BE-47B1-9205-FA1987C7292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BE-47B1-9205-FA1987C7292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BE-47B1-9205-FA1987C72928}"/>
              </c:ext>
            </c:extLst>
          </c:dPt>
          <c:dLbls>
            <c:dLbl>
              <c:idx val="0"/>
              <c:layout>
                <c:manualLayout>
                  <c:x val="2.6849893789574E-2"/>
                  <c:y val="-0.1558098188546100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BE-47B1-9205-FA1987C72928}"/>
                </c:ext>
              </c:extLst>
            </c:dLbl>
            <c:dLbl>
              <c:idx val="1"/>
              <c:layout>
                <c:manualLayout>
                  <c:x val="3.9740037904356504E-3"/>
                  <c:y val="-0.1732307559915670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BE-47B1-9205-FA1987C72928}"/>
                </c:ext>
              </c:extLst>
            </c:dLbl>
            <c:dLbl>
              <c:idx val="2"/>
              <c:layout>
                <c:manualLayout>
                  <c:x val="2.04662591178306E-2"/>
                  <c:y val="-0.169952067466976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BE-47B1-9205-FA1987C72928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57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BE-47B1-9205-FA1987C7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  <c:extLst>
      <c:ext uri="{0b15fc19-7d7d-44ad-8c2d-2c3a37ce22c3}">
        <chartProps xmlns="https://web.wps.cn/et/2018/main" chartId="{bcdbe925-494a-4cac-a59c-f18f3707c6f0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MX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8"/>
          <c:y val="2.164502164502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99"/>
          <c:y val="0.21212210887661001"/>
          <c:w val="0.56756831657558704"/>
          <c:h val="0.593076100328481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6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33.333333333333336</c:v>
                </c:pt>
                <c:pt idx="2">
                  <c:v>0</c:v>
                </c:pt>
                <c:pt idx="3">
                  <c:v>0</c:v>
                </c:pt>
                <c:pt idx="4">
                  <c:v>33.333333333333336</c:v>
                </c:pt>
                <c:pt idx="5">
                  <c:v>33.333333333333336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1-4180-AE20-0152638A4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104703"/>
        <c:axId val="1"/>
      </c:barChart>
      <c:catAx>
        <c:axId val="18811047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6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MX" sz="800" b="1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296"/>
              <c:y val="0.891778527684039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CO"/>
          </a:p>
        </c:txPr>
        <c:crossAx val="1881104703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bc8e9c9-807a-49fb-a2fd-7271ae0d0b8d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MX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82" name="Picture 1" descr="escudo blanco y negro">
          <a:extLst>
            <a:ext uri="{FF2B5EF4-FFF2-40B4-BE49-F238E27FC236}">
              <a16:creationId xmlns:a16="http://schemas.microsoft.com/office/drawing/2014/main" id="{00000000-0008-0000-0200-00006A21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83" name="Gráfico 2">
          <a:extLst>
            <a:ext uri="{FF2B5EF4-FFF2-40B4-BE49-F238E27FC236}">
              <a16:creationId xmlns:a16="http://schemas.microsoft.com/office/drawing/2014/main" id="{00000000-0008-0000-0200-00006B21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84" name="Gráfico 7">
          <a:extLst>
            <a:ext uri="{FF2B5EF4-FFF2-40B4-BE49-F238E27FC236}">
              <a16:creationId xmlns:a16="http://schemas.microsoft.com/office/drawing/2014/main" id="{00000000-0008-0000-0200-00006C21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85" name="Gráfico 9">
          <a:extLst>
            <a:ext uri="{FF2B5EF4-FFF2-40B4-BE49-F238E27FC236}">
              <a16:creationId xmlns:a16="http://schemas.microsoft.com/office/drawing/2014/main" id="{00000000-0008-0000-0200-00006D21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41" name="Picture 1" descr="escudo blanco y negro">
          <a:extLst>
            <a:ext uri="{FF2B5EF4-FFF2-40B4-BE49-F238E27FC236}">
              <a16:creationId xmlns:a16="http://schemas.microsoft.com/office/drawing/2014/main" id="{00000000-0008-0000-0300-0000654D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42" name="Gráfico 2">
          <a:extLst>
            <a:ext uri="{FF2B5EF4-FFF2-40B4-BE49-F238E27FC236}">
              <a16:creationId xmlns:a16="http://schemas.microsoft.com/office/drawing/2014/main" id="{00000000-0008-0000-0300-0000664D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43" name="Gráfico 3">
          <a:extLst>
            <a:ext uri="{FF2B5EF4-FFF2-40B4-BE49-F238E27FC236}">
              <a16:creationId xmlns:a16="http://schemas.microsoft.com/office/drawing/2014/main" id="{00000000-0008-0000-0300-0000674D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44" name="Gráfico 4">
          <a:extLst>
            <a:ext uri="{FF2B5EF4-FFF2-40B4-BE49-F238E27FC236}">
              <a16:creationId xmlns:a16="http://schemas.microsoft.com/office/drawing/2014/main" id="{00000000-0008-0000-0300-0000684D3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="110" zoomScaleNormal="110" zoomScaleSheetLayoutView="90" workbookViewId="0">
      <pane xSplit="5" ySplit="2" topLeftCell="AA15" activePane="bottomRight" state="frozen"/>
      <selection pane="topRight"/>
      <selection pane="bottomLeft"/>
      <selection pane="bottomRight" activeCell="AD15" sqref="AD15:AD44"/>
    </sheetView>
  </sheetViews>
  <sheetFormatPr baseColWidth="10" defaultColWidth="0" defaultRowHeight="15.75" customHeight="1" zeroHeight="1"/>
  <cols>
    <col min="1" max="1" width="8.5703125" style="184" customWidth="1"/>
    <col min="2" max="3" width="37.42578125" style="185" customWidth="1"/>
    <col min="4" max="4" width="13.7109375" style="139" customWidth="1"/>
    <col min="5" max="5" width="16.7109375" style="140" customWidth="1"/>
    <col min="6" max="7" width="45.7109375" style="141" customWidth="1"/>
    <col min="8" max="8" width="23.140625" style="137" customWidth="1"/>
    <col min="9" max="9" width="6.85546875" style="139" customWidth="1"/>
    <col min="10" max="10" width="39.42578125" style="139" customWidth="1"/>
    <col min="11" max="11" width="23.7109375" style="139" customWidth="1"/>
    <col min="12" max="14" width="11.7109375" style="139" customWidth="1"/>
    <col min="15" max="18" width="13.7109375" style="142" customWidth="1"/>
    <col min="19" max="19" width="13.7109375" style="142" hidden="1" customWidth="1"/>
    <col min="20" max="23" width="13.7109375" style="142" customWidth="1"/>
    <col min="24" max="24" width="13.7109375" style="142" hidden="1" customWidth="1"/>
    <col min="25" max="28" width="13.7109375" style="142" customWidth="1"/>
    <col min="29" max="29" width="13.7109375" style="142" hidden="1" customWidth="1"/>
    <col min="30" max="31" width="13.7109375" style="142" customWidth="1"/>
    <col min="32" max="32" width="10.5703125" style="186" customWidth="1"/>
    <col min="33" max="35" width="20.7109375" style="187" customWidth="1"/>
    <col min="36" max="38" width="15.140625" style="142" customWidth="1"/>
    <col min="39" max="39" width="12.7109375" style="142" hidden="1" customWidth="1"/>
    <col min="40" max="41" width="18.7109375" style="186" customWidth="1"/>
    <col min="42" max="42" width="16.7109375" style="186" hidden="1" customWidth="1"/>
    <col min="43" max="43" width="16.7109375" style="188" customWidth="1"/>
    <col min="44" max="44" width="20" style="145" customWidth="1"/>
    <col min="45" max="45" width="0.28515625" style="189" customWidth="1"/>
    <col min="46" max="46" width="9.7109375" style="190" hidden="1" customWidth="1"/>
    <col min="47" max="47" width="5.85546875" style="190" hidden="1" customWidth="1"/>
    <col min="48" max="48" width="32" style="190" hidden="1" customWidth="1"/>
    <col min="49" max="50" width="19.28515625" style="190" hidden="1" customWidth="1"/>
    <col min="51" max="16384" width="0" style="190" hidden="1"/>
  </cols>
  <sheetData>
    <row r="1" spans="1:50" s="182" customFormat="1" ht="16.5" hidden="1">
      <c r="A1" s="191"/>
      <c r="B1" s="192"/>
      <c r="C1" s="192"/>
      <c r="D1" s="193"/>
      <c r="E1" s="151"/>
      <c r="F1" s="152"/>
      <c r="G1" s="194"/>
      <c r="H1" s="191"/>
      <c r="I1" s="204" t="s">
        <v>0</v>
      </c>
      <c r="J1" s="193">
        <f>(COUNTIF($J$15:$J$61,"Ciencias Naturales y Educación Ambiental")+COUNTIF($J$15:$J$61,"Ciencias Naturales – Química")+COUNTIF($J$15:$J$61,"Ciencias Naturales – Física"))</f>
        <v>1</v>
      </c>
      <c r="L1" s="205"/>
      <c r="M1" s="205"/>
      <c r="N1" s="205" t="s">
        <v>1</v>
      </c>
      <c r="O1" s="191">
        <f>COUNT(O15:O61)</f>
        <v>28</v>
      </c>
      <c r="P1" s="191">
        <f>COUNT(P15:P61)</f>
        <v>28</v>
      </c>
      <c r="Q1" s="191">
        <f>COUNT(Q15:Q61)</f>
        <v>28</v>
      </c>
      <c r="R1" s="191">
        <f>COUNT(R15:R61)</f>
        <v>28</v>
      </c>
      <c r="S1" s="191"/>
      <c r="T1" s="191">
        <f>COUNT(T15:T61)</f>
        <v>28</v>
      </c>
      <c r="U1" s="191"/>
      <c r="V1" s="191">
        <f>COUNT(V15:V61)</f>
        <v>28</v>
      </c>
      <c r="W1" s="191">
        <f>COUNT(W15:W61)</f>
        <v>28</v>
      </c>
      <c r="X1" s="191"/>
      <c r="Y1" s="191">
        <f>COUNT(Y15:Y61)</f>
        <v>28</v>
      </c>
      <c r="Z1" s="191"/>
      <c r="AA1" s="191">
        <f>COUNT(AA15:AA61)</f>
        <v>28</v>
      </c>
      <c r="AB1" s="191">
        <f>COUNT(AB15:AB61)</f>
        <v>28</v>
      </c>
      <c r="AC1" s="191"/>
      <c r="AD1" s="191">
        <f>COUNT(AD15:AD61)</f>
        <v>28</v>
      </c>
      <c r="AE1" s="191" t="s">
        <v>2</v>
      </c>
      <c r="AF1" s="191">
        <f>SUM(AG1:AI1)</f>
        <v>13</v>
      </c>
      <c r="AG1" s="191">
        <f>COUNTIF(AG15:AG61,"Liderazgo")</f>
        <v>13</v>
      </c>
      <c r="AH1" s="191">
        <f>COUNTIF(AH15:AH61,"Liderazgo")</f>
        <v>0</v>
      </c>
      <c r="AI1" s="191">
        <f>COUNTIF(AI15:AI61,"Liderazgo")</f>
        <v>0</v>
      </c>
      <c r="AJ1" s="191">
        <f>COUNT(AJ15:AJ61)</f>
        <v>28</v>
      </c>
      <c r="AK1" s="191">
        <f>COUNT(AK15:AK61)</f>
        <v>28</v>
      </c>
      <c r="AL1" s="191">
        <f>COUNT(AL15:AL61)</f>
        <v>28</v>
      </c>
      <c r="AM1" s="191"/>
      <c r="AN1" s="191">
        <f>COUNT(AN16:AN61)</f>
        <v>27</v>
      </c>
      <c r="AO1" s="191"/>
      <c r="AP1" s="191"/>
      <c r="AQ1" s="191">
        <f>COUNT(AQ15:AQ61)</f>
        <v>28</v>
      </c>
      <c r="AR1" s="193">
        <f>COUNTIF(AR15:AR61,"NO SATISFACTORIO")</f>
        <v>0</v>
      </c>
      <c r="AS1" s="214"/>
    </row>
    <row r="2" spans="1:50" s="182" customFormat="1" ht="16.5">
      <c r="A2" s="191"/>
      <c r="B2" s="192"/>
      <c r="C2" s="192"/>
      <c r="D2" s="193"/>
      <c r="E2" s="195"/>
      <c r="F2" s="194"/>
      <c r="G2" s="194"/>
      <c r="H2" s="191"/>
      <c r="I2" s="204" t="s">
        <v>3</v>
      </c>
      <c r="J2" s="193">
        <f>COUNTIF($J$15:$J$61,"Ciencias Sociales")</f>
        <v>1</v>
      </c>
      <c r="L2" s="204"/>
      <c r="M2" s="204"/>
      <c r="N2" s="204" t="s">
        <v>4</v>
      </c>
      <c r="O2" s="206">
        <f>AVERAGE(O15:O61)</f>
        <v>90.785714285714292</v>
      </c>
      <c r="P2" s="206">
        <f>AVERAGE(P15:P61)</f>
        <v>90.678571428571431</v>
      </c>
      <c r="Q2" s="206">
        <f>AVERAGE(Q15:Q61)</f>
        <v>90.642857142857139</v>
      </c>
      <c r="R2" s="206">
        <f>AVERAGE(R15:R61)</f>
        <v>90.571428571428569</v>
      </c>
      <c r="S2" s="206"/>
      <c r="T2" s="206">
        <f>AVERAGE(T15:T61)</f>
        <v>90.669642857142861</v>
      </c>
      <c r="U2" s="206"/>
      <c r="V2" s="206">
        <f>AVERAGE(V15:V61)</f>
        <v>90.785714285714292</v>
      </c>
      <c r="W2" s="206">
        <f>AVERAGE(W15:W61)</f>
        <v>91.285714285714292</v>
      </c>
      <c r="X2" s="206"/>
      <c r="Y2" s="206">
        <f>AVERAGE(Y15:Y61)</f>
        <v>91.035714285714292</v>
      </c>
      <c r="Z2" s="206"/>
      <c r="AA2" s="206">
        <f>AVERAGE(AA15:AA61)</f>
        <v>91.035714285714292</v>
      </c>
      <c r="AB2" s="206">
        <f>AVERAGE(AB15:AB61)</f>
        <v>90.821428571428569</v>
      </c>
      <c r="AC2" s="206"/>
      <c r="AD2" s="206">
        <f>AVERAGE(AD15:AD61)</f>
        <v>90.928571428571431</v>
      </c>
      <c r="AE2" s="206" t="s">
        <v>5</v>
      </c>
      <c r="AF2" s="191">
        <f t="shared" ref="AF2:AF7" si="0">SUM(AG2:AI2)</f>
        <v>7</v>
      </c>
      <c r="AG2" s="191">
        <f>COUNTIF(AG15:AG61,"Comunicación y relaciones")</f>
        <v>6</v>
      </c>
      <c r="AH2" s="191">
        <f>COUNTIF(AH15:AH61,"Comunicación y relaciones")</f>
        <v>1</v>
      </c>
      <c r="AI2" s="191">
        <f>COUNTIF(AI15:AI61,"Comunicación y relaciones")</f>
        <v>0</v>
      </c>
      <c r="AJ2" s="206">
        <f>AVERAGE(AJ15:AJ61)</f>
        <v>91.392857142857139</v>
      </c>
      <c r="AK2" s="206">
        <f>AVERAGE(AK15:AK61)</f>
        <v>91.392857142857139</v>
      </c>
      <c r="AL2" s="206">
        <f>AVERAGE(AL15:AL61)</f>
        <v>91.392857142857139</v>
      </c>
      <c r="AM2" s="206"/>
      <c r="AN2" s="206">
        <f>AVERAGE(AN16:AN61)</f>
        <v>91.381851851851863</v>
      </c>
      <c r="AO2" s="206"/>
      <c r="AP2" s="206"/>
      <c r="AQ2" s="206">
        <f>AVERAGE(AQ15:AQ61)</f>
        <v>90.993749999999991</v>
      </c>
      <c r="AR2" s="193">
        <f>COUNTIF(AR15:AR61,"SATISFACTORIO")</f>
        <v>8</v>
      </c>
      <c r="AS2" s="215"/>
    </row>
    <row r="3" spans="1:50" s="182" customFormat="1" ht="16.5">
      <c r="A3" s="191"/>
      <c r="B3" s="192"/>
      <c r="C3" s="192"/>
      <c r="D3" s="193"/>
      <c r="E3" s="195"/>
      <c r="F3" s="194"/>
      <c r="G3" s="194"/>
      <c r="H3" s="191"/>
      <c r="I3" s="204" t="s">
        <v>6</v>
      </c>
      <c r="J3" s="193">
        <f>(COUNTIF($J$15:$J$61,"Educación Artística y Cultural (Integral)")+COUNTIF($J$15:$J$61,"Educación Artística y Cultural – Plásticas")+COUNTIF($J$15:$J$61,"Educación Artística y Cultural – Música")+COUNTIF($J$15:$J$61,"Educación Artística y Cultural – A. Escénicas")+COUNTIF($J$15:$J$61,"Educación Artística y Cultural – Danzas"))</f>
        <v>0</v>
      </c>
      <c r="L3" s="204"/>
      <c r="M3" s="204"/>
      <c r="N3" s="204" t="s">
        <v>7</v>
      </c>
      <c r="O3" s="206">
        <f>IF(O1&gt;1,STDEV(O15:O61))</f>
        <v>1.2279806626883454</v>
      </c>
      <c r="P3" s="206">
        <f>IF(P1&gt;1,STDEV(P15:P61))</f>
        <v>1.3622848842368123</v>
      </c>
      <c r="Q3" s="206">
        <f>IF(Q1&gt;1,STDEV(Q15:Q61))</f>
        <v>1.0615950861718073</v>
      </c>
      <c r="R3" s="206">
        <f>IF(R1&gt;1,STDEV(R15:R61))</f>
        <v>1.2598815766974238</v>
      </c>
      <c r="S3" s="206"/>
      <c r="T3" s="206">
        <f>IF(T1&gt;1,STDEV(T15:T61))</f>
        <v>1.1222777174711593</v>
      </c>
      <c r="U3" s="206"/>
      <c r="V3" s="206">
        <f>IF(V1&gt;1,STDEV(V15:V61))</f>
        <v>1.2279806626883452</v>
      </c>
      <c r="W3" s="206">
        <f>IF(W1&gt;1,STDEV(W15:W61))</f>
        <v>2.1231901723436151</v>
      </c>
      <c r="X3" s="206"/>
      <c r="Y3" s="206">
        <f>IF(Y1&gt;1,STDEV(Y15:Y61))</f>
        <v>1.5689615073800287</v>
      </c>
      <c r="Z3" s="206"/>
      <c r="AA3" s="206">
        <f>IF(AA1&gt;1,STDEV(AA15:AA61))</f>
        <v>1.4525110532413719</v>
      </c>
      <c r="AB3" s="206">
        <f>IF(AB1&gt;1,STDEV(AB15:AB61))</f>
        <v>1.564740457204548</v>
      </c>
      <c r="AC3" s="206"/>
      <c r="AD3" s="206">
        <f>IF(AD1&gt;1,STDEV(AD15:AD61))</f>
        <v>1.4701617806811811</v>
      </c>
      <c r="AE3" s="206" t="s">
        <v>8</v>
      </c>
      <c r="AF3" s="191">
        <f t="shared" si="0"/>
        <v>25</v>
      </c>
      <c r="AG3" s="191">
        <f>COUNTIF(AG15:AG61,"Trabajo en equipo")</f>
        <v>9</v>
      </c>
      <c r="AH3" s="191">
        <f>COUNTIF(AH15:AH61,"Trabajo en equipo")</f>
        <v>15</v>
      </c>
      <c r="AI3" s="191">
        <f>COUNTIF(AI15:AI61,"Trabajo en equipo")</f>
        <v>1</v>
      </c>
      <c r="AJ3" s="206">
        <f>IF(AJ1&gt;1,STDEV(AJ15:AJ61))</f>
        <v>1.5948826896203971</v>
      </c>
      <c r="AK3" s="206">
        <f>IF(AK1&gt;1,STDEV(AK15:AK61))</f>
        <v>1.3968028497458758</v>
      </c>
      <c r="AL3" s="206">
        <f>IF(AL1&gt;1,STDEV(AL15:AL61))</f>
        <v>1.8527114407105281</v>
      </c>
      <c r="AM3" s="206"/>
      <c r="AN3" s="206">
        <f>IF(AN1&gt;1,STDEV(AN16:AN61))</f>
        <v>1.6253053186762725</v>
      </c>
      <c r="AO3" s="206"/>
      <c r="AP3" s="206"/>
      <c r="AQ3" s="206">
        <f>IF(AQ1&gt;1,STDEV(AQ15:AQ61))</f>
        <v>1.2857233336689275</v>
      </c>
      <c r="AR3" s="193">
        <f>COUNTIF(AR15:AR61,"SOBRESALIENTE")</f>
        <v>20</v>
      </c>
      <c r="AS3" s="215"/>
    </row>
    <row r="4" spans="1:50" s="182" customFormat="1" ht="16.5">
      <c r="A4" s="191"/>
      <c r="B4" s="192"/>
      <c r="C4" s="192"/>
      <c r="D4" s="193"/>
      <c r="E4" s="195"/>
      <c r="F4" s="194"/>
      <c r="G4" s="194"/>
      <c r="H4" s="191"/>
      <c r="I4" s="204" t="s">
        <v>9</v>
      </c>
      <c r="J4" s="193">
        <f>COUNTIF($J$15:$J$61,"Educación Física, Recreación y Deportes")</f>
        <v>0</v>
      </c>
      <c r="L4" s="204"/>
      <c r="M4" s="204"/>
      <c r="N4" s="204" t="s">
        <v>10</v>
      </c>
      <c r="O4" s="206">
        <f>MIN(O15:O61)</f>
        <v>89</v>
      </c>
      <c r="P4" s="206">
        <f>MIN(P15:P61)</f>
        <v>88</v>
      </c>
      <c r="Q4" s="206">
        <f>MIN(Q15:Q61)</f>
        <v>89</v>
      </c>
      <c r="R4" s="206">
        <f>MIN(R15:R61)</f>
        <v>89</v>
      </c>
      <c r="S4" s="206"/>
      <c r="T4" s="206">
        <f>MIN(T15:T61)</f>
        <v>89</v>
      </c>
      <c r="U4" s="206"/>
      <c r="V4" s="206">
        <f>MIN(V15:V61)</f>
        <v>89</v>
      </c>
      <c r="W4" s="206">
        <f>MIN(W15:W61)</f>
        <v>88</v>
      </c>
      <c r="X4" s="206"/>
      <c r="Y4" s="206">
        <f>MIN(Y15:Y61)</f>
        <v>88.5</v>
      </c>
      <c r="Z4" s="206"/>
      <c r="AA4" s="206">
        <f>MIN(AA15:AA61)</f>
        <v>88</v>
      </c>
      <c r="AB4" s="206">
        <f>MIN(AB15:AB61)</f>
        <v>88</v>
      </c>
      <c r="AC4" s="206"/>
      <c r="AD4" s="206">
        <f>MIN(AD15:AD61)</f>
        <v>88</v>
      </c>
      <c r="AE4" s="206" t="s">
        <v>11</v>
      </c>
      <c r="AF4" s="191">
        <f t="shared" si="0"/>
        <v>8</v>
      </c>
      <c r="AG4" s="191">
        <f>COUNTIF(AG15:AG61,"Negociación y mediación")</f>
        <v>0</v>
      </c>
      <c r="AH4" s="191">
        <f>COUNTIF(AH15:AH61,"Negociación y mediación")</f>
        <v>4</v>
      </c>
      <c r="AI4" s="191">
        <f>COUNTIF(AI15:AI61,"Negociación y mediación")</f>
        <v>4</v>
      </c>
      <c r="AJ4" s="206">
        <f>MIN(AJ15:AJ61)</f>
        <v>89</v>
      </c>
      <c r="AK4" s="206">
        <f>MIN(AK15:AK61)</f>
        <v>89</v>
      </c>
      <c r="AL4" s="206">
        <f>MIN(AL15:AL61)</f>
        <v>88</v>
      </c>
      <c r="AM4" s="206"/>
      <c r="AN4" s="206">
        <f>MIN(AN16:AN61)</f>
        <v>88.67</v>
      </c>
      <c r="AO4" s="206"/>
      <c r="AP4" s="206"/>
      <c r="AQ4" s="206">
        <f>MIN(AQ15:AQ61)</f>
        <v>88.775000000000006</v>
      </c>
      <c r="AR4" s="193"/>
      <c r="AS4" s="215"/>
    </row>
    <row r="5" spans="1:50" s="182" customFormat="1" ht="16.5">
      <c r="A5" s="191"/>
      <c r="B5" s="192"/>
      <c r="C5" s="192"/>
      <c r="D5" s="150"/>
      <c r="E5" s="151"/>
      <c r="F5" s="152"/>
      <c r="G5" s="194"/>
      <c r="H5" s="191"/>
      <c r="I5" s="204" t="s">
        <v>12</v>
      </c>
      <c r="J5" s="193">
        <f>COUNTIF($J$15:$J$61,"Educación Ética y en Valores")</f>
        <v>0</v>
      </c>
      <c r="L5" s="204"/>
      <c r="M5" s="204"/>
      <c r="N5" s="204" t="s">
        <v>13</v>
      </c>
      <c r="O5" s="206">
        <f>MAX(O15:O61)</f>
        <v>93</v>
      </c>
      <c r="P5" s="206">
        <f>MAX(P15:P61)</f>
        <v>94</v>
      </c>
      <c r="Q5" s="206">
        <f>MAX(Q15:Q61)</f>
        <v>93</v>
      </c>
      <c r="R5" s="206">
        <f>MAX(R15:R61)</f>
        <v>94</v>
      </c>
      <c r="S5" s="206"/>
      <c r="T5" s="206">
        <f>MAX(T15:T61)</f>
        <v>93.5</v>
      </c>
      <c r="U5" s="206"/>
      <c r="V5" s="206">
        <f>MAX(V15:V61)</f>
        <v>94</v>
      </c>
      <c r="W5" s="206">
        <f>MAX(W15:W61)</f>
        <v>96</v>
      </c>
      <c r="X5" s="206"/>
      <c r="Y5" s="206">
        <f>MAX(Y15:Y61)</f>
        <v>94</v>
      </c>
      <c r="Z5" s="206"/>
      <c r="AA5" s="206">
        <f>MAX(AA15:AA61)</f>
        <v>94</v>
      </c>
      <c r="AB5" s="206">
        <f>MAX(AB15:AB61)</f>
        <v>94</v>
      </c>
      <c r="AC5" s="206"/>
      <c r="AD5" s="206">
        <f>MAX(AD15:AD61)</f>
        <v>94</v>
      </c>
      <c r="AE5" s="206" t="s">
        <v>14</v>
      </c>
      <c r="AF5" s="191">
        <f t="shared" si="0"/>
        <v>15</v>
      </c>
      <c r="AG5" s="191">
        <f>COUNTIF(AG15:AG61,"Compromiso social")</f>
        <v>0</v>
      </c>
      <c r="AH5" s="191">
        <f>COUNTIF(AH15:AH61,"Compromiso social")</f>
        <v>6</v>
      </c>
      <c r="AI5" s="191">
        <f>COUNTIF(AI15:AI61,"Compromiso social")</f>
        <v>9</v>
      </c>
      <c r="AJ5" s="206">
        <f>MAX(AJ15:AJ61)</f>
        <v>94</v>
      </c>
      <c r="AK5" s="206">
        <f>MAX(AK15:AK61)</f>
        <v>94</v>
      </c>
      <c r="AL5" s="206">
        <f>MAX(AL15:AL61)</f>
        <v>94</v>
      </c>
      <c r="AM5" s="206"/>
      <c r="AN5" s="206">
        <f>MAX(AN16:AN61)</f>
        <v>94</v>
      </c>
      <c r="AO5" s="206"/>
      <c r="AP5" s="206"/>
      <c r="AQ5" s="206">
        <f>MAX(AQ15:AQ61)</f>
        <v>93.65</v>
      </c>
      <c r="AR5" s="193"/>
      <c r="AS5" s="215"/>
    </row>
    <row r="6" spans="1:50" s="182" customFormat="1" ht="16.5">
      <c r="A6" s="191"/>
      <c r="B6" s="192"/>
      <c r="C6" s="192"/>
      <c r="D6" s="150"/>
      <c r="E6" s="151"/>
      <c r="F6" s="152"/>
      <c r="G6" s="194"/>
      <c r="H6" s="191"/>
      <c r="I6" s="204" t="s">
        <v>15</v>
      </c>
      <c r="J6" s="193">
        <f>COUNTIF($J$15:$J$61,"Educación Religiosa")</f>
        <v>0</v>
      </c>
      <c r="L6" s="204"/>
      <c r="M6" s="204"/>
      <c r="N6" s="204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 t="s">
        <v>16</v>
      </c>
      <c r="AF6" s="191">
        <f t="shared" si="0"/>
        <v>14</v>
      </c>
      <c r="AG6" s="191">
        <f>COUNTIF(AG15:AG61,"Iniciativa")</f>
        <v>0</v>
      </c>
      <c r="AH6" s="191">
        <f>COUNTIF(AH15:AH61,"Iniciativa")</f>
        <v>2</v>
      </c>
      <c r="AI6" s="191">
        <f>COUNTIF(AI15:AI61,"Iniciativa")</f>
        <v>12</v>
      </c>
      <c r="AJ6" s="206"/>
      <c r="AK6" s="206"/>
      <c r="AL6" s="206"/>
      <c r="AM6" s="206"/>
      <c r="AN6" s="206"/>
      <c r="AO6" s="206"/>
      <c r="AP6" s="206"/>
      <c r="AQ6" s="206"/>
      <c r="AR6" s="193"/>
      <c r="AS6" s="215"/>
    </row>
    <row r="7" spans="1:50" s="182" customFormat="1" ht="16.5">
      <c r="A7" s="191"/>
      <c r="B7" s="192"/>
      <c r="C7" s="192"/>
      <c r="D7" s="150"/>
      <c r="E7" s="151"/>
      <c r="F7" s="152"/>
      <c r="G7" s="194"/>
      <c r="H7" s="191"/>
      <c r="I7" s="204" t="s">
        <v>17</v>
      </c>
      <c r="J7" s="193">
        <f>COUNTIF($J$15:$J$61,"Humanidades - Lengua Castellana")</f>
        <v>2</v>
      </c>
      <c r="L7" s="204"/>
      <c r="M7" s="204"/>
      <c r="N7" s="204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 t="s">
        <v>18</v>
      </c>
      <c r="AF7" s="191">
        <f t="shared" si="0"/>
        <v>2</v>
      </c>
      <c r="AG7" s="191">
        <f>COUNTIF(AG15:AG61,"Orientación al logro")</f>
        <v>0</v>
      </c>
      <c r="AH7" s="191">
        <f>COUNTIF(AH15:AH61,"Orientación al logro")</f>
        <v>0</v>
      </c>
      <c r="AI7" s="191">
        <f>COUNTIF(AI15:AI61,"Orientación al logro")</f>
        <v>2</v>
      </c>
      <c r="AJ7" s="206"/>
      <c r="AK7" s="206"/>
      <c r="AL7" s="206"/>
      <c r="AM7" s="206"/>
      <c r="AN7" s="206"/>
      <c r="AO7" s="206"/>
      <c r="AP7" s="206"/>
      <c r="AQ7" s="206"/>
      <c r="AR7" s="193"/>
      <c r="AS7" s="215"/>
    </row>
    <row r="8" spans="1:50" s="182" customFormat="1" ht="16.5">
      <c r="A8" s="191"/>
      <c r="B8" s="192"/>
      <c r="C8" s="192"/>
      <c r="D8" s="150"/>
      <c r="E8" s="151"/>
      <c r="F8" s="152"/>
      <c r="G8" s="194"/>
      <c r="H8" s="191"/>
      <c r="I8" s="204" t="s">
        <v>19</v>
      </c>
      <c r="J8" s="193">
        <f>COUNTIF($J$15:$J$61,"Idioma Extranjero – Francés")+COUNTIF($J$15:$J$61,"Idioma Extranjero – Inglés")</f>
        <v>3</v>
      </c>
      <c r="L8" s="204"/>
      <c r="M8" s="204"/>
      <c r="N8" s="204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193"/>
      <c r="AS8" s="215"/>
    </row>
    <row r="9" spans="1:50" s="182" customFormat="1" ht="16.5">
      <c r="A9" s="191"/>
      <c r="B9" s="192"/>
      <c r="C9" s="192"/>
      <c r="D9" s="150"/>
      <c r="E9" s="151"/>
      <c r="F9" s="152"/>
      <c r="G9" s="194"/>
      <c r="H9" s="191"/>
      <c r="I9" s="204" t="s">
        <v>20</v>
      </c>
      <c r="J9" s="193">
        <f>COUNTIF($J$15:$J$61,"Matemáticas")</f>
        <v>7</v>
      </c>
      <c r="L9" s="204"/>
      <c r="M9" s="204"/>
      <c r="N9" s="204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193"/>
      <c r="AS9" s="215"/>
    </row>
    <row r="10" spans="1:50" s="182" customFormat="1" ht="16.5">
      <c r="A10" s="191"/>
      <c r="B10" s="192"/>
      <c r="C10" s="192"/>
      <c r="D10" s="150"/>
      <c r="E10" s="151"/>
      <c r="F10" s="152"/>
      <c r="G10" s="194"/>
      <c r="H10" s="191"/>
      <c r="I10" s="204" t="s">
        <v>21</v>
      </c>
      <c r="J10" s="193">
        <f>COUNTIF($J$15:$J$61,"Tecnología e Informática")</f>
        <v>0</v>
      </c>
      <c r="L10" s="204"/>
      <c r="M10" s="204"/>
      <c r="N10" s="204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193"/>
      <c r="AS10" s="215"/>
    </row>
    <row r="11" spans="1:50" s="182" customFormat="1" ht="16.5">
      <c r="A11" s="191"/>
      <c r="B11" s="192"/>
      <c r="C11" s="192"/>
      <c r="D11" s="150"/>
      <c r="E11" s="151"/>
      <c r="F11" s="152"/>
      <c r="G11" s="194"/>
      <c r="H11" s="191"/>
      <c r="I11" s="204" t="s">
        <v>22</v>
      </c>
      <c r="J11" s="193">
        <f>COUNTIF($J$15:$J$61,"Filosofía")</f>
        <v>0</v>
      </c>
      <c r="L11" s="204"/>
      <c r="M11" s="204"/>
      <c r="N11" s="204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193"/>
      <c r="AS11" s="215"/>
    </row>
    <row r="12" spans="1:50" s="182" customFormat="1" ht="16.5">
      <c r="A12" s="191"/>
      <c r="B12" s="192"/>
      <c r="C12" s="192"/>
      <c r="D12" s="150"/>
      <c r="E12" s="151"/>
      <c r="F12" s="152"/>
      <c r="G12" s="194"/>
      <c r="H12" s="191"/>
      <c r="I12" s="204" t="s">
        <v>23</v>
      </c>
      <c r="J12" s="193">
        <f>COUNTIF($J$15:$J$61,"Ciencias Económicas y Políticas")</f>
        <v>1</v>
      </c>
      <c r="L12" s="204"/>
      <c r="M12" s="204"/>
      <c r="N12" s="204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193"/>
      <c r="AS12" s="215"/>
    </row>
    <row r="13" spans="1:50" s="183" customFormat="1" ht="30" customHeight="1">
      <c r="A13" s="270" t="s">
        <v>24</v>
      </c>
      <c r="B13" s="269" t="s">
        <v>25</v>
      </c>
      <c r="C13" s="269" t="s">
        <v>26</v>
      </c>
      <c r="D13" s="269" t="s">
        <v>27</v>
      </c>
      <c r="E13" s="269"/>
      <c r="F13" s="269"/>
      <c r="G13" s="269"/>
      <c r="H13" s="269"/>
      <c r="I13" s="269"/>
      <c r="J13" s="269"/>
      <c r="K13" s="269"/>
      <c r="L13" s="269" t="s">
        <v>28</v>
      </c>
      <c r="M13" s="269"/>
      <c r="N13" s="269"/>
      <c r="O13" s="269" t="s">
        <v>29</v>
      </c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 t="s">
        <v>30</v>
      </c>
      <c r="AH13" s="269"/>
      <c r="AI13" s="269"/>
      <c r="AJ13" s="269" t="s">
        <v>31</v>
      </c>
      <c r="AK13" s="269"/>
      <c r="AL13" s="269"/>
      <c r="AM13" s="269"/>
      <c r="AN13" s="269"/>
      <c r="AO13" s="269"/>
      <c r="AP13" s="154"/>
      <c r="AQ13" s="269" t="s">
        <v>32</v>
      </c>
      <c r="AR13" s="269"/>
      <c r="AS13" s="216"/>
      <c r="AT13" s="217" t="s">
        <v>33</v>
      </c>
      <c r="AU13" s="218" t="s">
        <v>34</v>
      </c>
      <c r="AV13" s="218" t="s">
        <v>35</v>
      </c>
      <c r="AW13" s="218" t="s">
        <v>36</v>
      </c>
      <c r="AX13" s="218" t="s">
        <v>37</v>
      </c>
    </row>
    <row r="14" spans="1:50" s="183" customFormat="1" ht="30" customHeight="1">
      <c r="A14" s="270"/>
      <c r="B14" s="271"/>
      <c r="C14" s="271"/>
      <c r="D14" s="212" t="s">
        <v>38</v>
      </c>
      <c r="E14" s="212" t="s">
        <v>39</v>
      </c>
      <c r="F14" s="212" t="s">
        <v>40</v>
      </c>
      <c r="G14" s="212" t="s">
        <v>41</v>
      </c>
      <c r="H14" s="212" t="s">
        <v>42</v>
      </c>
      <c r="I14" s="212" t="s">
        <v>34</v>
      </c>
      <c r="J14" s="212" t="s">
        <v>43</v>
      </c>
      <c r="K14" s="212" t="s">
        <v>44</v>
      </c>
      <c r="L14" s="212" t="s">
        <v>45</v>
      </c>
      <c r="M14" s="212" t="s">
        <v>46</v>
      </c>
      <c r="N14" s="212" t="s">
        <v>47</v>
      </c>
      <c r="O14" s="212" t="s">
        <v>48</v>
      </c>
      <c r="P14" s="212" t="s">
        <v>49</v>
      </c>
      <c r="Q14" s="212" t="s">
        <v>50</v>
      </c>
      <c r="R14" s="212" t="s">
        <v>51</v>
      </c>
      <c r="S14" s="212" t="s">
        <v>52</v>
      </c>
      <c r="T14" s="212" t="s">
        <v>53</v>
      </c>
      <c r="U14" s="212" t="s">
        <v>45</v>
      </c>
      <c r="V14" s="212" t="s">
        <v>54</v>
      </c>
      <c r="W14" s="212" t="s">
        <v>55</v>
      </c>
      <c r="X14" s="212" t="s">
        <v>56</v>
      </c>
      <c r="Y14" s="212" t="s">
        <v>57</v>
      </c>
      <c r="Z14" s="212" t="s">
        <v>46</v>
      </c>
      <c r="AA14" s="212" t="s">
        <v>58</v>
      </c>
      <c r="AB14" s="212" t="s">
        <v>59</v>
      </c>
      <c r="AC14" s="212" t="s">
        <v>60</v>
      </c>
      <c r="AD14" s="212" t="s">
        <v>61</v>
      </c>
      <c r="AE14" s="212" t="s">
        <v>47</v>
      </c>
      <c r="AF14" s="212" t="s">
        <v>62</v>
      </c>
      <c r="AG14" s="212" t="s">
        <v>63</v>
      </c>
      <c r="AH14" s="212" t="s">
        <v>64</v>
      </c>
      <c r="AI14" s="212" t="s">
        <v>65</v>
      </c>
      <c r="AJ14" s="212" t="s">
        <v>66</v>
      </c>
      <c r="AK14" s="212" t="s">
        <v>67</v>
      </c>
      <c r="AL14" s="212" t="s">
        <v>68</v>
      </c>
      <c r="AM14" s="212" t="s">
        <v>69</v>
      </c>
      <c r="AN14" s="212" t="s">
        <v>70</v>
      </c>
      <c r="AO14" s="212" t="s">
        <v>71</v>
      </c>
      <c r="AP14" s="212" t="s">
        <v>69</v>
      </c>
      <c r="AQ14" s="212" t="s">
        <v>72</v>
      </c>
      <c r="AR14" s="212" t="s">
        <v>73</v>
      </c>
      <c r="AS14" s="216"/>
      <c r="AT14" s="219" t="s">
        <v>74</v>
      </c>
      <c r="AU14" s="220" t="s">
        <v>75</v>
      </c>
      <c r="AV14" s="221" t="s">
        <v>0</v>
      </c>
      <c r="AW14" s="220" t="s">
        <v>76</v>
      </c>
      <c r="AX14" s="222" t="s">
        <v>77</v>
      </c>
    </row>
    <row r="15" spans="1:50" ht="15" customHeight="1">
      <c r="A15" s="155">
        <v>1</v>
      </c>
      <c r="B15" s="231" t="s">
        <v>78</v>
      </c>
      <c r="C15" s="243" t="s">
        <v>79</v>
      </c>
      <c r="D15" s="244" t="s">
        <v>74</v>
      </c>
      <c r="E15" s="245">
        <v>37333666</v>
      </c>
      <c r="F15" s="246" t="s">
        <v>106</v>
      </c>
      <c r="G15" s="247" t="s">
        <v>81</v>
      </c>
      <c r="H15" s="248">
        <v>254003001336</v>
      </c>
      <c r="I15" s="249" t="s">
        <v>82</v>
      </c>
      <c r="J15" s="250" t="s">
        <v>20</v>
      </c>
      <c r="K15" s="249" t="s">
        <v>83</v>
      </c>
      <c r="L15" s="244">
        <v>40</v>
      </c>
      <c r="M15" s="244">
        <v>15</v>
      </c>
      <c r="N15" s="244">
        <v>15</v>
      </c>
      <c r="O15" s="244">
        <v>90</v>
      </c>
      <c r="P15" s="244">
        <v>91</v>
      </c>
      <c r="Q15" s="244">
        <v>90</v>
      </c>
      <c r="R15" s="244">
        <v>91</v>
      </c>
      <c r="S15" s="239">
        <f t="shared" ref="S15:S32" si="1">SUM(O15:R15)</f>
        <v>362</v>
      </c>
      <c r="T15" s="240">
        <f t="shared" ref="T15:T32" si="2">IF(S15&gt;0,AVERAGE(O15:R15))</f>
        <v>90.5</v>
      </c>
      <c r="U15" s="240">
        <f t="shared" ref="U15:U32" si="3">(T15*L15)/100</f>
        <v>36.200000000000003</v>
      </c>
      <c r="V15" s="244">
        <v>90</v>
      </c>
      <c r="W15" s="244">
        <v>92</v>
      </c>
      <c r="X15" s="239">
        <f>SUM(V15:W15)</f>
        <v>182</v>
      </c>
      <c r="Y15" s="240">
        <f>IF(X15&gt;0,AVERAGE(V15:W15))</f>
        <v>91</v>
      </c>
      <c r="Z15" s="240">
        <f t="shared" ref="Z15:Z52" si="4">(Y15*M15)/100</f>
        <v>13.65</v>
      </c>
      <c r="AA15" s="244">
        <v>91</v>
      </c>
      <c r="AB15" s="244">
        <v>90</v>
      </c>
      <c r="AC15" s="239">
        <f>SUM(AA15:AB15)</f>
        <v>181</v>
      </c>
      <c r="AD15" s="240">
        <f>IF(AC15&gt;0,AVERAGE(AA15:AB15))</f>
        <v>90.5</v>
      </c>
      <c r="AE15" s="240">
        <f t="shared" ref="AE15:AE52" si="5">(AD15*N15)/100</f>
        <v>13.574999999999999</v>
      </c>
      <c r="AF15" s="251">
        <f>U15+Z15+AE15</f>
        <v>63.424999999999997</v>
      </c>
      <c r="AG15" s="242" t="s">
        <v>84</v>
      </c>
      <c r="AH15" s="243" t="s">
        <v>86</v>
      </c>
      <c r="AI15" s="243" t="s">
        <v>101</v>
      </c>
      <c r="AJ15" s="244">
        <v>92</v>
      </c>
      <c r="AK15" s="244">
        <v>91</v>
      </c>
      <c r="AL15" s="244">
        <v>92</v>
      </c>
      <c r="AM15" s="239">
        <f>SUM(AJ15:AL15)</f>
        <v>275</v>
      </c>
      <c r="AN15" s="251">
        <f t="shared" ref="AN15:AN61" si="6">IF(AM15&gt;0,AVERAGE(AJ15:AL15))</f>
        <v>91.666666666666671</v>
      </c>
      <c r="AO15" s="251">
        <f>AN31*0.3</f>
        <v>27.5</v>
      </c>
      <c r="AP15" s="251">
        <f>S15+X15+AC15+AM15</f>
        <v>1000</v>
      </c>
      <c r="AQ15" s="251">
        <f t="shared" ref="AQ15:AQ43" si="7">IF(AP15&gt;0,(AF15+AO15))</f>
        <v>90.924999999999997</v>
      </c>
      <c r="AR15" s="241" t="str">
        <f>IF(AQ15=FALSE,FALSE,IF(AQ15&lt;60,"NO SATISFACTORIO",IF(AQ15&gt;=90,"SOBRESALIENTE","SATISFACTORIO")))</f>
        <v>SOBRESALIENTE</v>
      </c>
      <c r="AT15" s="221" t="s">
        <v>87</v>
      </c>
      <c r="AU15" s="221" t="s">
        <v>82</v>
      </c>
      <c r="AV15" s="221" t="s">
        <v>3</v>
      </c>
      <c r="AW15" s="221" t="s">
        <v>88</v>
      </c>
      <c r="AX15" s="190" t="s">
        <v>89</v>
      </c>
    </row>
    <row r="16" spans="1:50" ht="15" customHeight="1">
      <c r="A16" s="155">
        <v>2</v>
      </c>
      <c r="B16" s="231" t="s">
        <v>78</v>
      </c>
      <c r="C16" s="243" t="s">
        <v>79</v>
      </c>
      <c r="D16" s="244" t="s">
        <v>74</v>
      </c>
      <c r="E16" s="245">
        <v>37338639</v>
      </c>
      <c r="F16" s="246" t="s">
        <v>80</v>
      </c>
      <c r="G16" s="252" t="s">
        <v>81</v>
      </c>
      <c r="H16" s="248"/>
      <c r="I16" s="249" t="s">
        <v>82</v>
      </c>
      <c r="J16" s="250" t="s">
        <v>17</v>
      </c>
      <c r="K16" s="249" t="s">
        <v>83</v>
      </c>
      <c r="L16" s="244">
        <v>40</v>
      </c>
      <c r="M16" s="244">
        <v>15</v>
      </c>
      <c r="N16" s="244">
        <v>15</v>
      </c>
      <c r="O16" s="244">
        <v>91</v>
      </c>
      <c r="P16" s="244">
        <v>91</v>
      </c>
      <c r="Q16" s="244">
        <v>91</v>
      </c>
      <c r="R16" s="244">
        <v>91</v>
      </c>
      <c r="S16" s="239">
        <f t="shared" si="1"/>
        <v>364</v>
      </c>
      <c r="T16" s="240">
        <f t="shared" si="2"/>
        <v>91</v>
      </c>
      <c r="U16" s="240">
        <f t="shared" si="3"/>
        <v>36.4</v>
      </c>
      <c r="V16" s="244">
        <v>92</v>
      </c>
      <c r="W16" s="244">
        <v>92</v>
      </c>
      <c r="X16" s="239">
        <f t="shared" ref="X16:X61" si="8">SUM(V16:W16)</f>
        <v>184</v>
      </c>
      <c r="Y16" s="240">
        <f t="shared" ref="Y16:Y61" si="9">IF(X16&gt;0,AVERAGE(V16:W16))</f>
        <v>92</v>
      </c>
      <c r="Z16" s="240">
        <f t="shared" si="4"/>
        <v>13.8</v>
      </c>
      <c r="AA16" s="244">
        <v>92</v>
      </c>
      <c r="AB16" s="244">
        <v>92</v>
      </c>
      <c r="AC16" s="239">
        <f t="shared" ref="AC16:AC61" si="10">SUM(AA16:AB16)</f>
        <v>184</v>
      </c>
      <c r="AD16" s="240">
        <f t="shared" ref="AD16:AD61" si="11">IF(AC16&gt;0,AVERAGE(AA16:AB16))</f>
        <v>92</v>
      </c>
      <c r="AE16" s="240">
        <f t="shared" si="5"/>
        <v>13.8</v>
      </c>
      <c r="AF16" s="251">
        <f t="shared" ref="AF16:AF62" si="12">U16+Z16+AE16</f>
        <v>64</v>
      </c>
      <c r="AG16" s="242" t="s">
        <v>84</v>
      </c>
      <c r="AH16" s="244" t="s">
        <v>85</v>
      </c>
      <c r="AI16" s="244" t="s">
        <v>86</v>
      </c>
      <c r="AJ16" s="244">
        <v>93</v>
      </c>
      <c r="AK16" s="244">
        <v>93</v>
      </c>
      <c r="AL16" s="244">
        <v>93</v>
      </c>
      <c r="AM16" s="239">
        <f t="shared" ref="AM16:AM61" si="13">SUM(AJ16:AL16)</f>
        <v>279</v>
      </c>
      <c r="AN16" s="251">
        <f t="shared" si="6"/>
        <v>93</v>
      </c>
      <c r="AO16" s="251">
        <f t="shared" ref="AO16:AO61" si="14">AN16*0.3</f>
        <v>27.9</v>
      </c>
      <c r="AP16" s="251">
        <f t="shared" ref="AP16:AP61" si="15">S16+X16+AC16+AM16</f>
        <v>1011</v>
      </c>
      <c r="AQ16" s="251">
        <f t="shared" si="7"/>
        <v>91.9</v>
      </c>
      <c r="AR16" s="241" t="str">
        <f t="shared" ref="AR16:AR61" si="16">IF(AQ16=FALSE,FALSE,IF(AQ16&lt;60,"NO SATISFACTORIO",IF(AQ16&gt;=90,"SOBRESALIENTE","SATISFACTORIO")))</f>
        <v>SOBRESALIENTE</v>
      </c>
      <c r="AT16" s="221"/>
      <c r="AU16" s="221"/>
      <c r="AV16" s="221" t="s">
        <v>92</v>
      </c>
      <c r="AW16" s="221"/>
      <c r="AX16" s="190" t="s">
        <v>93</v>
      </c>
    </row>
    <row r="17" spans="1:50" ht="15" customHeight="1">
      <c r="A17" s="155">
        <v>3</v>
      </c>
      <c r="B17" s="231" t="s">
        <v>78</v>
      </c>
      <c r="C17" s="243" t="s">
        <v>79</v>
      </c>
      <c r="D17" s="244" t="s">
        <v>74</v>
      </c>
      <c r="E17" s="245">
        <v>5469079</v>
      </c>
      <c r="F17" s="246" t="s">
        <v>188</v>
      </c>
      <c r="G17" s="247" t="s">
        <v>91</v>
      </c>
      <c r="H17" s="248"/>
      <c r="I17" s="249" t="s">
        <v>82</v>
      </c>
      <c r="J17" s="253" t="s">
        <v>88</v>
      </c>
      <c r="K17" s="249" t="s">
        <v>88</v>
      </c>
      <c r="L17" s="244">
        <v>40</v>
      </c>
      <c r="M17" s="244">
        <v>15</v>
      </c>
      <c r="N17" s="244">
        <v>15</v>
      </c>
      <c r="O17" s="244">
        <v>89</v>
      </c>
      <c r="P17" s="244">
        <v>89</v>
      </c>
      <c r="Q17" s="244">
        <v>90</v>
      </c>
      <c r="R17" s="244">
        <v>89</v>
      </c>
      <c r="S17" s="239">
        <f t="shared" si="1"/>
        <v>357</v>
      </c>
      <c r="T17" s="240">
        <f t="shared" si="2"/>
        <v>89.25</v>
      </c>
      <c r="U17" s="240">
        <f t="shared" si="3"/>
        <v>35.700000000000003</v>
      </c>
      <c r="V17" s="244">
        <v>90</v>
      </c>
      <c r="W17" s="244">
        <v>90</v>
      </c>
      <c r="X17" s="239">
        <f t="shared" si="8"/>
        <v>180</v>
      </c>
      <c r="Y17" s="240">
        <f t="shared" si="9"/>
        <v>90</v>
      </c>
      <c r="Z17" s="240">
        <f t="shared" si="4"/>
        <v>13.5</v>
      </c>
      <c r="AA17" s="244">
        <v>89</v>
      </c>
      <c r="AB17" s="244">
        <v>90</v>
      </c>
      <c r="AC17" s="239">
        <f t="shared" si="10"/>
        <v>179</v>
      </c>
      <c r="AD17" s="240">
        <f t="shared" si="11"/>
        <v>89.5</v>
      </c>
      <c r="AE17" s="240">
        <f t="shared" si="5"/>
        <v>13.425000000000001</v>
      </c>
      <c r="AF17" s="251">
        <f t="shared" si="12"/>
        <v>62.625</v>
      </c>
      <c r="AG17" s="243" t="s">
        <v>77</v>
      </c>
      <c r="AH17" s="243" t="s">
        <v>85</v>
      </c>
      <c r="AI17" s="243" t="s">
        <v>86</v>
      </c>
      <c r="AJ17" s="244">
        <v>90</v>
      </c>
      <c r="AK17" s="244">
        <v>90</v>
      </c>
      <c r="AL17" s="244">
        <v>89</v>
      </c>
      <c r="AM17" s="239">
        <f t="shared" si="13"/>
        <v>269</v>
      </c>
      <c r="AN17" s="251">
        <f t="shared" si="6"/>
        <v>89.666666666666671</v>
      </c>
      <c r="AO17" s="251">
        <f t="shared" si="14"/>
        <v>26.900000000000002</v>
      </c>
      <c r="AP17" s="251">
        <f t="shared" si="15"/>
        <v>985</v>
      </c>
      <c r="AQ17" s="251">
        <f t="shared" si="7"/>
        <v>89.525000000000006</v>
      </c>
      <c r="AR17" s="241" t="str">
        <f t="shared" si="16"/>
        <v>SATISFACTORIO</v>
      </c>
      <c r="AT17" s="221"/>
      <c r="AU17" s="221"/>
      <c r="AV17" s="221" t="s">
        <v>95</v>
      </c>
      <c r="AW17" s="221"/>
      <c r="AX17" s="190" t="s">
        <v>85</v>
      </c>
    </row>
    <row r="18" spans="1:50" ht="15" customHeight="1">
      <c r="A18" s="155">
        <v>4</v>
      </c>
      <c r="B18" s="231" t="s">
        <v>78</v>
      </c>
      <c r="C18" s="243" t="s">
        <v>79</v>
      </c>
      <c r="D18" s="244" t="s">
        <v>74</v>
      </c>
      <c r="E18" s="254">
        <v>1091664942</v>
      </c>
      <c r="F18" s="255" t="s">
        <v>189</v>
      </c>
      <c r="G18" s="247" t="s">
        <v>81</v>
      </c>
      <c r="H18" s="256"/>
      <c r="I18" s="249" t="s">
        <v>82</v>
      </c>
      <c r="J18" s="253" t="s">
        <v>20</v>
      </c>
      <c r="K18" s="249" t="s">
        <v>83</v>
      </c>
      <c r="L18" s="244">
        <v>40</v>
      </c>
      <c r="M18" s="244">
        <v>15</v>
      </c>
      <c r="N18" s="244">
        <v>15</v>
      </c>
      <c r="O18" s="257">
        <v>90</v>
      </c>
      <c r="P18" s="257">
        <v>90</v>
      </c>
      <c r="Q18" s="257">
        <v>90</v>
      </c>
      <c r="R18" s="257">
        <v>89</v>
      </c>
      <c r="S18" s="239">
        <f t="shared" si="1"/>
        <v>359</v>
      </c>
      <c r="T18" s="240">
        <f t="shared" si="2"/>
        <v>89.75</v>
      </c>
      <c r="U18" s="240">
        <f t="shared" si="3"/>
        <v>35.9</v>
      </c>
      <c r="V18" s="244">
        <v>90</v>
      </c>
      <c r="W18" s="244">
        <v>90</v>
      </c>
      <c r="X18" s="239">
        <f t="shared" si="8"/>
        <v>180</v>
      </c>
      <c r="Y18" s="240">
        <f t="shared" si="9"/>
        <v>90</v>
      </c>
      <c r="Z18" s="240">
        <f t="shared" si="4"/>
        <v>13.5</v>
      </c>
      <c r="AA18" s="244">
        <v>90</v>
      </c>
      <c r="AB18" s="244">
        <v>90</v>
      </c>
      <c r="AC18" s="239">
        <f t="shared" si="10"/>
        <v>180</v>
      </c>
      <c r="AD18" s="240">
        <f t="shared" si="11"/>
        <v>90</v>
      </c>
      <c r="AE18" s="240">
        <f t="shared" si="5"/>
        <v>13.5</v>
      </c>
      <c r="AF18" s="251">
        <f t="shared" si="12"/>
        <v>62.9</v>
      </c>
      <c r="AG18" s="242" t="s">
        <v>84</v>
      </c>
      <c r="AH18" s="244" t="s">
        <v>93</v>
      </c>
      <c r="AI18" s="244" t="s">
        <v>86</v>
      </c>
      <c r="AJ18" s="244">
        <v>90</v>
      </c>
      <c r="AK18" s="244">
        <v>90</v>
      </c>
      <c r="AL18" s="244">
        <v>90</v>
      </c>
      <c r="AM18" s="239">
        <f t="shared" si="13"/>
        <v>270</v>
      </c>
      <c r="AN18" s="251">
        <f t="shared" si="6"/>
        <v>90</v>
      </c>
      <c r="AO18" s="251">
        <f t="shared" si="14"/>
        <v>27</v>
      </c>
      <c r="AP18" s="251">
        <f t="shared" si="15"/>
        <v>989</v>
      </c>
      <c r="AQ18" s="251">
        <f t="shared" si="7"/>
        <v>89.9</v>
      </c>
      <c r="AR18" s="241" t="str">
        <f t="shared" si="16"/>
        <v>SATISFACTORIO</v>
      </c>
      <c r="AT18" s="221"/>
      <c r="AU18" s="221"/>
      <c r="AV18" s="221" t="s">
        <v>98</v>
      </c>
      <c r="AW18" s="221"/>
      <c r="AX18" s="190" t="s">
        <v>86</v>
      </c>
    </row>
    <row r="19" spans="1:50" ht="15" customHeight="1">
      <c r="A19" s="155">
        <v>5</v>
      </c>
      <c r="B19" s="231" t="s">
        <v>78</v>
      </c>
      <c r="C19" s="243" t="s">
        <v>79</v>
      </c>
      <c r="D19" s="244" t="s">
        <v>74</v>
      </c>
      <c r="E19" s="254">
        <v>1091666568</v>
      </c>
      <c r="F19" s="255" t="s">
        <v>90</v>
      </c>
      <c r="G19" s="247" t="s">
        <v>91</v>
      </c>
      <c r="H19" s="256"/>
      <c r="I19" s="249" t="s">
        <v>82</v>
      </c>
      <c r="J19" s="253" t="s">
        <v>88</v>
      </c>
      <c r="K19" s="249" t="s">
        <v>88</v>
      </c>
      <c r="L19" s="244">
        <v>40</v>
      </c>
      <c r="M19" s="244">
        <v>15</v>
      </c>
      <c r="N19" s="244">
        <v>15</v>
      </c>
      <c r="O19" s="257">
        <v>90</v>
      </c>
      <c r="P19" s="257">
        <v>90</v>
      </c>
      <c r="Q19" s="257">
        <v>90</v>
      </c>
      <c r="R19" s="257">
        <v>92</v>
      </c>
      <c r="S19" s="239">
        <f t="shared" si="1"/>
        <v>362</v>
      </c>
      <c r="T19" s="240">
        <f t="shared" si="2"/>
        <v>90.5</v>
      </c>
      <c r="U19" s="240">
        <f t="shared" si="3"/>
        <v>36.200000000000003</v>
      </c>
      <c r="V19" s="244">
        <v>92</v>
      </c>
      <c r="W19" s="244">
        <v>90</v>
      </c>
      <c r="X19" s="239">
        <f t="shared" si="8"/>
        <v>182</v>
      </c>
      <c r="Y19" s="240">
        <f t="shared" si="9"/>
        <v>91</v>
      </c>
      <c r="Z19" s="240">
        <f t="shared" si="4"/>
        <v>13.65</v>
      </c>
      <c r="AA19" s="244">
        <v>91</v>
      </c>
      <c r="AB19" s="244">
        <v>91</v>
      </c>
      <c r="AC19" s="239">
        <f t="shared" si="10"/>
        <v>182</v>
      </c>
      <c r="AD19" s="240">
        <f t="shared" si="11"/>
        <v>91</v>
      </c>
      <c r="AE19" s="240">
        <f t="shared" si="5"/>
        <v>13.65</v>
      </c>
      <c r="AF19" s="251">
        <f t="shared" si="12"/>
        <v>63.5</v>
      </c>
      <c r="AG19" s="244" t="s">
        <v>77</v>
      </c>
      <c r="AH19" s="242" t="s">
        <v>84</v>
      </c>
      <c r="AI19" s="244" t="s">
        <v>86</v>
      </c>
      <c r="AJ19" s="244">
        <v>91</v>
      </c>
      <c r="AK19" s="244">
        <v>91</v>
      </c>
      <c r="AL19" s="244">
        <v>91</v>
      </c>
      <c r="AM19" s="239">
        <f t="shared" si="13"/>
        <v>273</v>
      </c>
      <c r="AN19" s="251">
        <f t="shared" si="6"/>
        <v>91</v>
      </c>
      <c r="AO19" s="251">
        <f t="shared" si="14"/>
        <v>27.3</v>
      </c>
      <c r="AP19" s="251">
        <f t="shared" si="15"/>
        <v>999</v>
      </c>
      <c r="AQ19" s="251">
        <f t="shared" si="7"/>
        <v>90.8</v>
      </c>
      <c r="AR19" s="241" t="str">
        <f t="shared" si="16"/>
        <v>SOBRESALIENTE</v>
      </c>
      <c r="AT19" s="221"/>
      <c r="AU19" s="221"/>
      <c r="AV19" s="221" t="s">
        <v>100</v>
      </c>
      <c r="AW19" s="221"/>
      <c r="AX19" s="190" t="s">
        <v>101</v>
      </c>
    </row>
    <row r="20" spans="1:50" ht="15" customHeight="1">
      <c r="A20" s="155">
        <v>6</v>
      </c>
      <c r="B20" s="231" t="s">
        <v>78</v>
      </c>
      <c r="C20" s="243" t="s">
        <v>79</v>
      </c>
      <c r="D20" s="244" t="s">
        <v>74</v>
      </c>
      <c r="E20" s="254">
        <v>37333351</v>
      </c>
      <c r="F20" s="255" t="s">
        <v>94</v>
      </c>
      <c r="G20" s="247" t="s">
        <v>81</v>
      </c>
      <c r="H20" s="256"/>
      <c r="I20" s="249" t="s">
        <v>82</v>
      </c>
      <c r="J20" s="258"/>
      <c r="K20" s="249" t="s">
        <v>83</v>
      </c>
      <c r="L20" s="244">
        <v>40</v>
      </c>
      <c r="M20" s="244">
        <v>15</v>
      </c>
      <c r="N20" s="244">
        <v>15</v>
      </c>
      <c r="O20" s="257">
        <v>92</v>
      </c>
      <c r="P20" s="257">
        <v>93</v>
      </c>
      <c r="Q20" s="257">
        <v>93</v>
      </c>
      <c r="R20" s="257">
        <v>92</v>
      </c>
      <c r="S20" s="239">
        <f t="shared" si="1"/>
        <v>370</v>
      </c>
      <c r="T20" s="240">
        <f t="shared" si="2"/>
        <v>92.5</v>
      </c>
      <c r="U20" s="240">
        <f t="shared" si="3"/>
        <v>37</v>
      </c>
      <c r="V20" s="244">
        <v>92</v>
      </c>
      <c r="W20" s="244">
        <v>92</v>
      </c>
      <c r="X20" s="239">
        <f t="shared" si="8"/>
        <v>184</v>
      </c>
      <c r="Y20" s="240">
        <f t="shared" si="9"/>
        <v>92</v>
      </c>
      <c r="Z20" s="240">
        <f t="shared" si="4"/>
        <v>13.8</v>
      </c>
      <c r="AA20" s="244">
        <v>93</v>
      </c>
      <c r="AB20" s="244">
        <v>93</v>
      </c>
      <c r="AC20" s="239">
        <f t="shared" si="10"/>
        <v>186</v>
      </c>
      <c r="AD20" s="240">
        <f t="shared" si="11"/>
        <v>93</v>
      </c>
      <c r="AE20" s="240">
        <f t="shared" si="5"/>
        <v>13.95</v>
      </c>
      <c r="AF20" s="251">
        <f t="shared" si="12"/>
        <v>64.75</v>
      </c>
      <c r="AG20" s="244" t="s">
        <v>77</v>
      </c>
      <c r="AH20" s="242" t="s">
        <v>84</v>
      </c>
      <c r="AI20" s="244" t="s">
        <v>86</v>
      </c>
      <c r="AJ20" s="244">
        <v>94</v>
      </c>
      <c r="AK20" s="244">
        <v>93</v>
      </c>
      <c r="AL20" s="244">
        <v>94</v>
      </c>
      <c r="AM20" s="239">
        <f t="shared" si="13"/>
        <v>281</v>
      </c>
      <c r="AN20" s="251">
        <f t="shared" si="6"/>
        <v>93.666666666666671</v>
      </c>
      <c r="AO20" s="251">
        <f t="shared" si="14"/>
        <v>28.1</v>
      </c>
      <c r="AP20" s="251">
        <f t="shared" si="15"/>
        <v>1021</v>
      </c>
      <c r="AQ20" s="251">
        <f t="shared" si="7"/>
        <v>92.85</v>
      </c>
      <c r="AR20" s="241" t="str">
        <f t="shared" si="16"/>
        <v>SOBRESALIENTE</v>
      </c>
      <c r="AT20" s="221"/>
      <c r="AU20" s="221"/>
      <c r="AV20" s="221" t="s">
        <v>102</v>
      </c>
      <c r="AW20" s="221"/>
    </row>
    <row r="21" spans="1:50" ht="15" customHeight="1">
      <c r="A21" s="155">
        <v>7</v>
      </c>
      <c r="B21" s="231" t="s">
        <v>78</v>
      </c>
      <c r="C21" s="243" t="s">
        <v>79</v>
      </c>
      <c r="D21" s="244" t="s">
        <v>74</v>
      </c>
      <c r="E21" s="254">
        <v>37328509</v>
      </c>
      <c r="F21" s="255" t="s">
        <v>108</v>
      </c>
      <c r="G21" s="247" t="s">
        <v>91</v>
      </c>
      <c r="H21" s="256"/>
      <c r="I21" s="249" t="s">
        <v>82</v>
      </c>
      <c r="J21" s="258" t="s">
        <v>88</v>
      </c>
      <c r="K21" s="249" t="s">
        <v>88</v>
      </c>
      <c r="L21" s="244">
        <v>40</v>
      </c>
      <c r="M21" s="244">
        <v>15</v>
      </c>
      <c r="N21" s="244">
        <v>15</v>
      </c>
      <c r="O21" s="257">
        <v>91</v>
      </c>
      <c r="P21" s="257">
        <v>91</v>
      </c>
      <c r="Q21" s="257">
        <v>91</v>
      </c>
      <c r="R21" s="257">
        <v>90</v>
      </c>
      <c r="S21" s="239">
        <f t="shared" si="1"/>
        <v>363</v>
      </c>
      <c r="T21" s="240">
        <f t="shared" si="2"/>
        <v>90.75</v>
      </c>
      <c r="U21" s="240">
        <f t="shared" si="3"/>
        <v>36.299999999999997</v>
      </c>
      <c r="V21" s="244">
        <v>90</v>
      </c>
      <c r="W21" s="244">
        <v>90</v>
      </c>
      <c r="X21" s="239">
        <f t="shared" si="8"/>
        <v>180</v>
      </c>
      <c r="Y21" s="240">
        <f t="shared" si="9"/>
        <v>90</v>
      </c>
      <c r="Z21" s="240">
        <f t="shared" si="4"/>
        <v>13.5</v>
      </c>
      <c r="AA21" s="244">
        <v>92</v>
      </c>
      <c r="AB21" s="244">
        <v>92</v>
      </c>
      <c r="AC21" s="239">
        <f t="shared" si="10"/>
        <v>184</v>
      </c>
      <c r="AD21" s="240">
        <f t="shared" si="11"/>
        <v>92</v>
      </c>
      <c r="AE21" s="240">
        <f t="shared" si="5"/>
        <v>13.8</v>
      </c>
      <c r="AF21" s="251">
        <f t="shared" si="12"/>
        <v>63.599999999999994</v>
      </c>
      <c r="AG21" s="244" t="s">
        <v>89</v>
      </c>
      <c r="AH21" s="242" t="s">
        <v>84</v>
      </c>
      <c r="AI21" s="244" t="s">
        <v>93</v>
      </c>
      <c r="AJ21" s="244">
        <v>91</v>
      </c>
      <c r="AK21" s="244">
        <v>91</v>
      </c>
      <c r="AL21" s="244">
        <v>90</v>
      </c>
      <c r="AM21" s="239">
        <f t="shared" si="13"/>
        <v>272</v>
      </c>
      <c r="AN21" s="251">
        <f t="shared" ref="AN21:AN30" si="17">IF(AM22&gt;0,AVERAGE(AJ22:AL22))</f>
        <v>91.333333333333329</v>
      </c>
      <c r="AO21" s="251">
        <f t="shared" si="14"/>
        <v>27.4</v>
      </c>
      <c r="AP21" s="251">
        <f>S22+X22+AC22+AM22</f>
        <v>1000</v>
      </c>
      <c r="AQ21" s="251">
        <f t="shared" si="7"/>
        <v>91</v>
      </c>
      <c r="AR21" s="241" t="str">
        <f>IF(AQ22=FALSE,FALSE,IF(AQ22&lt;60,"NO SATISFACTORIO",IF(AQ22&gt;=90,"SOBRESALIENTE","SATISFACTORIO")))</f>
        <v>SOBRESALIENTE</v>
      </c>
      <c r="AT21" s="221"/>
      <c r="AU21" s="221"/>
      <c r="AV21" s="221" t="s">
        <v>15</v>
      </c>
      <c r="AW21" s="221"/>
    </row>
    <row r="22" spans="1:50" ht="15" customHeight="1">
      <c r="A22" s="155">
        <v>8</v>
      </c>
      <c r="B22" s="231" t="s">
        <v>78</v>
      </c>
      <c r="C22" s="243" t="s">
        <v>79</v>
      </c>
      <c r="D22" s="244" t="s">
        <v>74</v>
      </c>
      <c r="E22" s="254">
        <v>88279347</v>
      </c>
      <c r="F22" s="255" t="s">
        <v>96</v>
      </c>
      <c r="G22" s="247" t="s">
        <v>81</v>
      </c>
      <c r="H22" s="256"/>
      <c r="I22" s="249" t="s">
        <v>82</v>
      </c>
      <c r="J22" s="258" t="s">
        <v>97</v>
      </c>
      <c r="K22" s="249" t="s">
        <v>83</v>
      </c>
      <c r="L22" s="244">
        <v>40</v>
      </c>
      <c r="M22" s="244">
        <v>15</v>
      </c>
      <c r="N22" s="244">
        <v>15</v>
      </c>
      <c r="O22" s="257">
        <v>90</v>
      </c>
      <c r="P22" s="257">
        <v>91</v>
      </c>
      <c r="Q22" s="257">
        <v>90</v>
      </c>
      <c r="R22" s="257">
        <v>90</v>
      </c>
      <c r="S22" s="239">
        <f t="shared" si="1"/>
        <v>361</v>
      </c>
      <c r="T22" s="240">
        <f t="shared" si="2"/>
        <v>90.25</v>
      </c>
      <c r="U22" s="240">
        <f t="shared" si="3"/>
        <v>36.1</v>
      </c>
      <c r="V22" s="244">
        <v>91</v>
      </c>
      <c r="W22" s="244">
        <v>94</v>
      </c>
      <c r="X22" s="239">
        <f t="shared" si="8"/>
        <v>185</v>
      </c>
      <c r="Y22" s="240">
        <f t="shared" si="9"/>
        <v>92.5</v>
      </c>
      <c r="Z22" s="240">
        <f t="shared" si="4"/>
        <v>13.875</v>
      </c>
      <c r="AA22" s="244">
        <v>90</v>
      </c>
      <c r="AB22" s="244">
        <v>90</v>
      </c>
      <c r="AC22" s="239">
        <f t="shared" si="10"/>
        <v>180</v>
      </c>
      <c r="AD22" s="240">
        <f t="shared" si="11"/>
        <v>90</v>
      </c>
      <c r="AE22" s="240">
        <f t="shared" si="5"/>
        <v>13.5</v>
      </c>
      <c r="AF22" s="251">
        <f t="shared" si="12"/>
        <v>63.475000000000001</v>
      </c>
      <c r="AG22" s="244" t="s">
        <v>89</v>
      </c>
      <c r="AH22" s="242" t="s">
        <v>84</v>
      </c>
      <c r="AI22" s="244" t="s">
        <v>85</v>
      </c>
      <c r="AJ22" s="244">
        <v>90</v>
      </c>
      <c r="AK22" s="244">
        <v>92</v>
      </c>
      <c r="AL22" s="244">
        <v>92</v>
      </c>
      <c r="AM22" s="239">
        <f t="shared" si="13"/>
        <v>274</v>
      </c>
      <c r="AN22" s="251">
        <f t="shared" si="17"/>
        <v>92</v>
      </c>
      <c r="AO22" s="251">
        <f t="shared" si="14"/>
        <v>27.599999999999998</v>
      </c>
      <c r="AP22" s="251" t="e">
        <f>#REF!+#REF!+#REF!+#REF!</f>
        <v>#REF!</v>
      </c>
      <c r="AQ22" s="251">
        <f>IF(AP21&gt;0,(AF22+AO21))</f>
        <v>90.875</v>
      </c>
      <c r="AR22" s="241" t="str">
        <f>IF(AQ23=FALSE,FALSE,IF(AQ23&lt;60,"NO SATISFACTORIO",IF(AQ23&gt;=90,"SOBRESALIENTE","SATISFACTORIO")))</f>
        <v>SOBRESALIENTE</v>
      </c>
      <c r="AT22" s="221"/>
      <c r="AU22" s="221"/>
      <c r="AV22" s="221" t="s">
        <v>17</v>
      </c>
      <c r="AW22" s="221"/>
    </row>
    <row r="23" spans="1:50" ht="15" customHeight="1">
      <c r="A23" s="155">
        <v>9</v>
      </c>
      <c r="B23" s="231" t="s">
        <v>78</v>
      </c>
      <c r="C23" s="243" t="s">
        <v>79</v>
      </c>
      <c r="D23" s="244" t="s">
        <v>74</v>
      </c>
      <c r="E23" s="254">
        <v>37327903</v>
      </c>
      <c r="F23" s="255" t="s">
        <v>99</v>
      </c>
      <c r="G23" s="247" t="s">
        <v>81</v>
      </c>
      <c r="H23" s="256"/>
      <c r="I23" s="249" t="s">
        <v>82</v>
      </c>
      <c r="J23" s="258" t="s">
        <v>20</v>
      </c>
      <c r="K23" s="249" t="s">
        <v>83</v>
      </c>
      <c r="L23" s="244">
        <v>40</v>
      </c>
      <c r="M23" s="244">
        <v>15</v>
      </c>
      <c r="N23" s="244">
        <v>15</v>
      </c>
      <c r="O23" s="257">
        <v>91</v>
      </c>
      <c r="P23" s="257">
        <v>91</v>
      </c>
      <c r="Q23" s="257">
        <v>91</v>
      </c>
      <c r="R23" s="257">
        <v>91</v>
      </c>
      <c r="S23" s="239">
        <f t="shared" si="1"/>
        <v>364</v>
      </c>
      <c r="T23" s="240">
        <f t="shared" si="2"/>
        <v>91</v>
      </c>
      <c r="U23" s="240">
        <f t="shared" si="3"/>
        <v>36.4</v>
      </c>
      <c r="V23" s="244">
        <v>91</v>
      </c>
      <c r="W23" s="244">
        <v>91</v>
      </c>
      <c r="X23" s="239">
        <f t="shared" si="8"/>
        <v>182</v>
      </c>
      <c r="Y23" s="240">
        <f t="shared" si="9"/>
        <v>91</v>
      </c>
      <c r="Z23" s="240">
        <f t="shared" si="4"/>
        <v>13.65</v>
      </c>
      <c r="AA23" s="244">
        <v>91</v>
      </c>
      <c r="AB23" s="244">
        <v>90</v>
      </c>
      <c r="AC23" s="239">
        <f t="shared" si="10"/>
        <v>181</v>
      </c>
      <c r="AD23" s="240">
        <f t="shared" si="11"/>
        <v>90.5</v>
      </c>
      <c r="AE23" s="240">
        <f t="shared" si="5"/>
        <v>13.574999999999999</v>
      </c>
      <c r="AF23" s="251">
        <f t="shared" si="12"/>
        <v>63.625</v>
      </c>
      <c r="AG23" s="242" t="s">
        <v>84</v>
      </c>
      <c r="AH23" s="243" t="s">
        <v>85</v>
      </c>
      <c r="AI23" s="243" t="s">
        <v>86</v>
      </c>
      <c r="AJ23" s="244">
        <v>92</v>
      </c>
      <c r="AK23" s="244">
        <v>91</v>
      </c>
      <c r="AL23" s="244">
        <v>93</v>
      </c>
      <c r="AM23" s="239">
        <f t="shared" si="13"/>
        <v>276</v>
      </c>
      <c r="AN23" s="251">
        <f t="shared" si="17"/>
        <v>93.666666666666671</v>
      </c>
      <c r="AO23" s="251">
        <f t="shared" si="14"/>
        <v>28.1</v>
      </c>
      <c r="AP23" s="251">
        <f t="shared" ref="AP23:AP32" si="18">S23+X23+AC23+AM23</f>
        <v>1003</v>
      </c>
      <c r="AQ23" s="251">
        <v>91.2</v>
      </c>
      <c r="AR23" s="241" t="str">
        <f t="shared" ref="AR23:AR32" si="19">IF(AQ23=FALSE,FALSE,IF(AQ23&lt;60,"NO SATISFACTORIO",IF(AQ23&gt;=90,"SOBRESALIENTE","SATISFACTORIO")))</f>
        <v>SOBRESALIENTE</v>
      </c>
      <c r="AT23" s="221"/>
      <c r="AU23" s="221"/>
      <c r="AV23" s="221" t="s">
        <v>103</v>
      </c>
      <c r="AW23" s="221"/>
    </row>
    <row r="24" spans="1:50" ht="15" customHeight="1">
      <c r="A24" s="155">
        <v>10</v>
      </c>
      <c r="B24" s="231" t="s">
        <v>78</v>
      </c>
      <c r="C24" s="243" t="s">
        <v>79</v>
      </c>
      <c r="D24" s="244" t="s">
        <v>74</v>
      </c>
      <c r="E24" s="254">
        <v>1007027172</v>
      </c>
      <c r="F24" s="255" t="s">
        <v>190</v>
      </c>
      <c r="G24" s="247" t="s">
        <v>81</v>
      </c>
      <c r="H24" s="256"/>
      <c r="I24" s="249" t="s">
        <v>82</v>
      </c>
      <c r="J24" s="258"/>
      <c r="K24" s="249" t="s">
        <v>83</v>
      </c>
      <c r="L24" s="244">
        <v>40</v>
      </c>
      <c r="M24" s="244">
        <v>15</v>
      </c>
      <c r="N24" s="244">
        <v>15</v>
      </c>
      <c r="O24" s="257">
        <v>92</v>
      </c>
      <c r="P24" s="257">
        <v>92</v>
      </c>
      <c r="Q24" s="257">
        <v>92</v>
      </c>
      <c r="R24" s="257">
        <v>92</v>
      </c>
      <c r="S24" s="239">
        <f t="shared" si="1"/>
        <v>368</v>
      </c>
      <c r="T24" s="240">
        <f t="shared" si="2"/>
        <v>92</v>
      </c>
      <c r="U24" s="240">
        <f t="shared" si="3"/>
        <v>36.799999999999997</v>
      </c>
      <c r="V24" s="244">
        <v>93</v>
      </c>
      <c r="W24" s="244">
        <v>94</v>
      </c>
      <c r="X24" s="239">
        <f t="shared" si="8"/>
        <v>187</v>
      </c>
      <c r="Y24" s="240">
        <f t="shared" si="9"/>
        <v>93.5</v>
      </c>
      <c r="Z24" s="240">
        <f t="shared" si="4"/>
        <v>14.025</v>
      </c>
      <c r="AA24" s="244">
        <v>93</v>
      </c>
      <c r="AB24" s="244">
        <v>93</v>
      </c>
      <c r="AC24" s="239">
        <f t="shared" si="10"/>
        <v>186</v>
      </c>
      <c r="AD24" s="240">
        <f t="shared" si="11"/>
        <v>93</v>
      </c>
      <c r="AE24" s="240">
        <f t="shared" si="5"/>
        <v>13.95</v>
      </c>
      <c r="AF24" s="251">
        <f t="shared" si="12"/>
        <v>64.774999999999991</v>
      </c>
      <c r="AG24" s="244" t="s">
        <v>89</v>
      </c>
      <c r="AH24" s="242" t="s">
        <v>84</v>
      </c>
      <c r="AI24" s="244" t="s">
        <v>93</v>
      </c>
      <c r="AJ24" s="244">
        <v>93</v>
      </c>
      <c r="AK24" s="244">
        <v>94</v>
      </c>
      <c r="AL24" s="244">
        <v>94</v>
      </c>
      <c r="AM24" s="239">
        <f t="shared" si="13"/>
        <v>281</v>
      </c>
      <c r="AN24" s="251">
        <f t="shared" si="17"/>
        <v>94</v>
      </c>
      <c r="AO24" s="251">
        <f t="shared" ref="AO24:AO32" si="20">AN23*0.3</f>
        <v>28.1</v>
      </c>
      <c r="AP24" s="251">
        <f t="shared" si="18"/>
        <v>1022</v>
      </c>
      <c r="AQ24" s="251">
        <f t="shared" ref="AQ24:AQ32" si="21">IF(AP24&gt;0,(AF24+AO24))</f>
        <v>92.875</v>
      </c>
      <c r="AR24" s="241" t="str">
        <f t="shared" si="19"/>
        <v>SOBRESALIENTE</v>
      </c>
      <c r="AV24" s="221" t="s">
        <v>97</v>
      </c>
    </row>
    <row r="25" spans="1:50" ht="15" customHeight="1">
      <c r="A25" s="155">
        <v>11</v>
      </c>
      <c r="B25" s="231" t="s">
        <v>78</v>
      </c>
      <c r="C25" s="243" t="s">
        <v>79</v>
      </c>
      <c r="D25" s="244" t="s">
        <v>74</v>
      </c>
      <c r="E25" s="254">
        <v>37327256</v>
      </c>
      <c r="F25" s="255" t="s">
        <v>191</v>
      </c>
      <c r="G25" s="247" t="s">
        <v>81</v>
      </c>
      <c r="H25" s="256"/>
      <c r="I25" s="249" t="s">
        <v>82</v>
      </c>
      <c r="J25" s="259" t="s">
        <v>23</v>
      </c>
      <c r="K25" s="249" t="s">
        <v>83</v>
      </c>
      <c r="L25" s="244">
        <v>40</v>
      </c>
      <c r="M25" s="244">
        <v>15</v>
      </c>
      <c r="N25" s="244">
        <v>15</v>
      </c>
      <c r="O25" s="257">
        <v>93</v>
      </c>
      <c r="P25" s="257">
        <v>94</v>
      </c>
      <c r="Q25" s="257">
        <v>93</v>
      </c>
      <c r="R25" s="257">
        <v>94</v>
      </c>
      <c r="S25" s="239">
        <f t="shared" si="1"/>
        <v>374</v>
      </c>
      <c r="T25" s="240">
        <f t="shared" si="2"/>
        <v>93.5</v>
      </c>
      <c r="U25" s="240">
        <f t="shared" si="3"/>
        <v>37.4</v>
      </c>
      <c r="V25" s="244">
        <v>94</v>
      </c>
      <c r="W25" s="244">
        <v>94</v>
      </c>
      <c r="X25" s="239">
        <f t="shared" si="8"/>
        <v>188</v>
      </c>
      <c r="Y25" s="240">
        <f t="shared" si="9"/>
        <v>94</v>
      </c>
      <c r="Z25" s="240">
        <f t="shared" si="4"/>
        <v>14.1</v>
      </c>
      <c r="AA25" s="244">
        <v>93</v>
      </c>
      <c r="AB25" s="244">
        <v>93</v>
      </c>
      <c r="AC25" s="239">
        <f t="shared" si="10"/>
        <v>186</v>
      </c>
      <c r="AD25" s="240">
        <f t="shared" si="11"/>
        <v>93</v>
      </c>
      <c r="AE25" s="240">
        <f t="shared" si="5"/>
        <v>13.95</v>
      </c>
      <c r="AF25" s="251">
        <f t="shared" si="12"/>
        <v>65.45</v>
      </c>
      <c r="AG25" s="244" t="s">
        <v>77</v>
      </c>
      <c r="AH25" s="243" t="s">
        <v>85</v>
      </c>
      <c r="AI25" s="243" t="s">
        <v>86</v>
      </c>
      <c r="AJ25" s="244">
        <v>94</v>
      </c>
      <c r="AK25" s="244">
        <v>94</v>
      </c>
      <c r="AL25" s="244">
        <v>94</v>
      </c>
      <c r="AM25" s="239">
        <f t="shared" si="13"/>
        <v>282</v>
      </c>
      <c r="AN25" s="251">
        <f t="shared" si="17"/>
        <v>89.333333333333329</v>
      </c>
      <c r="AO25" s="251">
        <f t="shared" si="20"/>
        <v>28.2</v>
      </c>
      <c r="AP25" s="251">
        <f t="shared" si="18"/>
        <v>1030</v>
      </c>
      <c r="AQ25" s="251">
        <f t="shared" si="21"/>
        <v>93.65</v>
      </c>
      <c r="AR25" s="241" t="str">
        <f t="shared" si="19"/>
        <v>SOBRESALIENTE</v>
      </c>
      <c r="AV25" s="221" t="s">
        <v>20</v>
      </c>
    </row>
    <row r="26" spans="1:50" ht="15" customHeight="1">
      <c r="A26" s="155">
        <v>12</v>
      </c>
      <c r="B26" s="231" t="s">
        <v>78</v>
      </c>
      <c r="C26" s="243" t="s">
        <v>79</v>
      </c>
      <c r="D26" s="244" t="s">
        <v>74</v>
      </c>
      <c r="E26" s="254">
        <v>1094283063</v>
      </c>
      <c r="F26" s="255" t="s">
        <v>192</v>
      </c>
      <c r="G26" s="247" t="s">
        <v>81</v>
      </c>
      <c r="H26" s="256"/>
      <c r="I26" s="249" t="s">
        <v>82</v>
      </c>
      <c r="J26" s="258" t="s">
        <v>97</v>
      </c>
      <c r="K26" s="249" t="s">
        <v>83</v>
      </c>
      <c r="L26" s="244">
        <v>40</v>
      </c>
      <c r="M26" s="244">
        <v>15</v>
      </c>
      <c r="N26" s="244">
        <v>15</v>
      </c>
      <c r="O26" s="257">
        <v>89</v>
      </c>
      <c r="P26" s="257">
        <v>89</v>
      </c>
      <c r="Q26" s="257">
        <v>89</v>
      </c>
      <c r="R26" s="257">
        <v>89</v>
      </c>
      <c r="S26" s="239">
        <f t="shared" si="1"/>
        <v>356</v>
      </c>
      <c r="T26" s="240">
        <f t="shared" si="2"/>
        <v>89</v>
      </c>
      <c r="U26" s="240">
        <f t="shared" si="3"/>
        <v>35.6</v>
      </c>
      <c r="V26" s="244">
        <v>90</v>
      </c>
      <c r="W26" s="244">
        <v>89</v>
      </c>
      <c r="X26" s="239">
        <f t="shared" si="8"/>
        <v>179</v>
      </c>
      <c r="Y26" s="240">
        <f t="shared" si="9"/>
        <v>89.5</v>
      </c>
      <c r="Z26" s="240">
        <f t="shared" si="4"/>
        <v>13.425000000000001</v>
      </c>
      <c r="AA26" s="244">
        <v>90</v>
      </c>
      <c r="AB26" s="244">
        <v>90</v>
      </c>
      <c r="AC26" s="239">
        <f t="shared" si="10"/>
        <v>180</v>
      </c>
      <c r="AD26" s="240">
        <f t="shared" si="11"/>
        <v>90</v>
      </c>
      <c r="AE26" s="240">
        <f t="shared" si="5"/>
        <v>13.5</v>
      </c>
      <c r="AF26" s="251">
        <f t="shared" si="12"/>
        <v>62.525000000000006</v>
      </c>
      <c r="AG26" s="244" t="s">
        <v>89</v>
      </c>
      <c r="AH26" s="242" t="s">
        <v>84</v>
      </c>
      <c r="AI26" s="244" t="s">
        <v>93</v>
      </c>
      <c r="AJ26" s="244">
        <v>89</v>
      </c>
      <c r="AK26" s="244">
        <v>90</v>
      </c>
      <c r="AL26" s="244">
        <v>89</v>
      </c>
      <c r="AM26" s="239">
        <f t="shared" si="13"/>
        <v>268</v>
      </c>
      <c r="AN26" s="251">
        <f t="shared" si="17"/>
        <v>92.333333333333329</v>
      </c>
      <c r="AO26" s="251">
        <f t="shared" si="20"/>
        <v>26.799999999999997</v>
      </c>
      <c r="AP26" s="251">
        <f t="shared" si="18"/>
        <v>983</v>
      </c>
      <c r="AQ26" s="251">
        <f t="shared" si="21"/>
        <v>89.325000000000003</v>
      </c>
      <c r="AR26" s="241" t="str">
        <f t="shared" si="19"/>
        <v>SATISFACTORIO</v>
      </c>
      <c r="AV26" s="221" t="s">
        <v>21</v>
      </c>
    </row>
    <row r="27" spans="1:50" ht="15" customHeight="1">
      <c r="A27" s="155">
        <v>13</v>
      </c>
      <c r="B27" s="231" t="s">
        <v>78</v>
      </c>
      <c r="C27" s="243" t="s">
        <v>79</v>
      </c>
      <c r="D27" s="244" t="s">
        <v>74</v>
      </c>
      <c r="E27" s="254">
        <v>88142205</v>
      </c>
      <c r="F27" s="255" t="s">
        <v>193</v>
      </c>
      <c r="G27" s="247" t="s">
        <v>81</v>
      </c>
      <c r="H27" s="256"/>
      <c r="I27" s="249" t="s">
        <v>82</v>
      </c>
      <c r="J27" s="258" t="s">
        <v>20</v>
      </c>
      <c r="K27" s="249" t="s">
        <v>83</v>
      </c>
      <c r="L27" s="244">
        <v>40</v>
      </c>
      <c r="M27" s="244">
        <v>15</v>
      </c>
      <c r="N27" s="244">
        <v>15</v>
      </c>
      <c r="O27" s="257">
        <v>92</v>
      </c>
      <c r="P27" s="257">
        <v>91</v>
      </c>
      <c r="Q27" s="257">
        <v>91</v>
      </c>
      <c r="R27" s="257">
        <v>91</v>
      </c>
      <c r="S27" s="239">
        <f t="shared" si="1"/>
        <v>365</v>
      </c>
      <c r="T27" s="240">
        <f t="shared" si="2"/>
        <v>91.25</v>
      </c>
      <c r="U27" s="240">
        <f t="shared" si="3"/>
        <v>36.5</v>
      </c>
      <c r="V27" s="244">
        <v>91</v>
      </c>
      <c r="W27" s="244">
        <v>94</v>
      </c>
      <c r="X27" s="239">
        <f t="shared" si="8"/>
        <v>185</v>
      </c>
      <c r="Y27" s="240">
        <f t="shared" si="9"/>
        <v>92.5</v>
      </c>
      <c r="Z27" s="240">
        <f t="shared" si="4"/>
        <v>13.875</v>
      </c>
      <c r="AA27" s="244">
        <v>92</v>
      </c>
      <c r="AB27" s="244">
        <v>92</v>
      </c>
      <c r="AC27" s="239">
        <f t="shared" si="10"/>
        <v>184</v>
      </c>
      <c r="AD27" s="240">
        <f t="shared" si="11"/>
        <v>92</v>
      </c>
      <c r="AE27" s="240">
        <f t="shared" si="5"/>
        <v>13.8</v>
      </c>
      <c r="AF27" s="251">
        <f t="shared" si="12"/>
        <v>64.174999999999997</v>
      </c>
      <c r="AG27" s="244" t="s">
        <v>77</v>
      </c>
      <c r="AH27" s="242" t="s">
        <v>84</v>
      </c>
      <c r="AI27" s="244" t="s">
        <v>85</v>
      </c>
      <c r="AJ27" s="244">
        <v>92</v>
      </c>
      <c r="AK27" s="244">
        <v>92</v>
      </c>
      <c r="AL27" s="244">
        <v>93</v>
      </c>
      <c r="AM27" s="239">
        <f t="shared" si="13"/>
        <v>277</v>
      </c>
      <c r="AN27" s="251">
        <f t="shared" si="17"/>
        <v>93.666666666666671</v>
      </c>
      <c r="AO27" s="251">
        <f t="shared" si="20"/>
        <v>27.7</v>
      </c>
      <c r="AP27" s="251">
        <f t="shared" si="18"/>
        <v>1011</v>
      </c>
      <c r="AQ27" s="251">
        <f t="shared" si="21"/>
        <v>91.875</v>
      </c>
      <c r="AR27" s="241" t="str">
        <f t="shared" si="19"/>
        <v>SOBRESALIENTE</v>
      </c>
      <c r="AV27" s="221" t="s">
        <v>104</v>
      </c>
    </row>
    <row r="28" spans="1:50" ht="15" customHeight="1">
      <c r="A28" s="155">
        <v>14</v>
      </c>
      <c r="B28" s="231" t="s">
        <v>78</v>
      </c>
      <c r="C28" s="243" t="s">
        <v>79</v>
      </c>
      <c r="D28" s="244" t="s">
        <v>74</v>
      </c>
      <c r="E28" s="254">
        <v>37321389</v>
      </c>
      <c r="F28" s="255" t="s">
        <v>194</v>
      </c>
      <c r="G28" s="247" t="s">
        <v>81</v>
      </c>
      <c r="H28" s="256"/>
      <c r="I28" s="249" t="s">
        <v>82</v>
      </c>
      <c r="J28" s="258" t="s">
        <v>105</v>
      </c>
      <c r="K28" s="249" t="s">
        <v>83</v>
      </c>
      <c r="L28" s="244">
        <v>40</v>
      </c>
      <c r="M28" s="244">
        <v>15</v>
      </c>
      <c r="N28" s="244">
        <v>15</v>
      </c>
      <c r="O28" s="257">
        <v>92</v>
      </c>
      <c r="P28" s="257">
        <v>92</v>
      </c>
      <c r="Q28" s="257">
        <v>92</v>
      </c>
      <c r="R28" s="257">
        <v>92</v>
      </c>
      <c r="S28" s="239">
        <f t="shared" si="1"/>
        <v>368</v>
      </c>
      <c r="T28" s="240">
        <f t="shared" si="2"/>
        <v>92</v>
      </c>
      <c r="U28" s="240">
        <f t="shared" si="3"/>
        <v>36.799999999999997</v>
      </c>
      <c r="V28" s="244">
        <v>92</v>
      </c>
      <c r="W28" s="244">
        <v>93</v>
      </c>
      <c r="X28" s="239">
        <f t="shared" si="8"/>
        <v>185</v>
      </c>
      <c r="Y28" s="240">
        <f t="shared" si="9"/>
        <v>92.5</v>
      </c>
      <c r="Z28" s="240">
        <f t="shared" si="4"/>
        <v>13.875</v>
      </c>
      <c r="AA28" s="244">
        <v>94</v>
      </c>
      <c r="AB28" s="244">
        <v>94</v>
      </c>
      <c r="AC28" s="239">
        <f t="shared" si="10"/>
        <v>188</v>
      </c>
      <c r="AD28" s="240">
        <f t="shared" si="11"/>
        <v>94</v>
      </c>
      <c r="AE28" s="240">
        <f t="shared" si="5"/>
        <v>14.1</v>
      </c>
      <c r="AF28" s="251">
        <f t="shared" si="12"/>
        <v>64.774999999999991</v>
      </c>
      <c r="AG28" s="244" t="s">
        <v>77</v>
      </c>
      <c r="AH28" s="242" t="s">
        <v>84</v>
      </c>
      <c r="AI28" s="244" t="s">
        <v>85</v>
      </c>
      <c r="AJ28" s="244">
        <v>93</v>
      </c>
      <c r="AK28" s="244">
        <v>94</v>
      </c>
      <c r="AL28" s="244">
        <v>94</v>
      </c>
      <c r="AM28" s="239">
        <f t="shared" si="13"/>
        <v>281</v>
      </c>
      <c r="AN28" s="251">
        <f t="shared" si="17"/>
        <v>89.666666666666671</v>
      </c>
      <c r="AO28" s="251">
        <f t="shared" si="20"/>
        <v>28.1</v>
      </c>
      <c r="AP28" s="251">
        <f t="shared" si="18"/>
        <v>1022</v>
      </c>
      <c r="AQ28" s="251">
        <f t="shared" si="21"/>
        <v>92.875</v>
      </c>
      <c r="AR28" s="241" t="str">
        <f t="shared" si="19"/>
        <v>SOBRESALIENTE</v>
      </c>
      <c r="AV28" s="221" t="s">
        <v>105</v>
      </c>
    </row>
    <row r="29" spans="1:50" ht="15" customHeight="1">
      <c r="A29" s="155">
        <v>15</v>
      </c>
      <c r="B29" s="231" t="s">
        <v>78</v>
      </c>
      <c r="C29" s="243" t="s">
        <v>79</v>
      </c>
      <c r="D29" s="244" t="s">
        <v>74</v>
      </c>
      <c r="E29" s="260">
        <v>37331076</v>
      </c>
      <c r="F29" s="255" t="s">
        <v>195</v>
      </c>
      <c r="G29" s="247" t="s">
        <v>91</v>
      </c>
      <c r="H29" s="256"/>
      <c r="I29" s="249" t="s">
        <v>82</v>
      </c>
      <c r="J29" s="258" t="s">
        <v>88</v>
      </c>
      <c r="K29" s="249" t="s">
        <v>88</v>
      </c>
      <c r="L29" s="244">
        <v>40</v>
      </c>
      <c r="M29" s="244">
        <v>15</v>
      </c>
      <c r="N29" s="244">
        <v>15</v>
      </c>
      <c r="O29" s="257">
        <v>90</v>
      </c>
      <c r="P29" s="257">
        <v>90</v>
      </c>
      <c r="Q29" s="257">
        <v>90</v>
      </c>
      <c r="R29" s="257">
        <v>90</v>
      </c>
      <c r="S29" s="239">
        <f t="shared" si="1"/>
        <v>360</v>
      </c>
      <c r="T29" s="240">
        <f t="shared" si="2"/>
        <v>90</v>
      </c>
      <c r="U29" s="240">
        <f t="shared" si="3"/>
        <v>36</v>
      </c>
      <c r="V29" s="244">
        <v>90</v>
      </c>
      <c r="W29" s="244">
        <v>90</v>
      </c>
      <c r="X29" s="239">
        <f t="shared" si="8"/>
        <v>180</v>
      </c>
      <c r="Y29" s="240">
        <f t="shared" si="9"/>
        <v>90</v>
      </c>
      <c r="Z29" s="240">
        <f t="shared" si="4"/>
        <v>13.5</v>
      </c>
      <c r="AA29" s="244">
        <v>90</v>
      </c>
      <c r="AB29" s="244">
        <v>89</v>
      </c>
      <c r="AC29" s="239">
        <f t="shared" si="10"/>
        <v>179</v>
      </c>
      <c r="AD29" s="240">
        <f t="shared" si="11"/>
        <v>89.5</v>
      </c>
      <c r="AE29" s="240">
        <f t="shared" si="5"/>
        <v>13.425000000000001</v>
      </c>
      <c r="AF29" s="251">
        <f t="shared" si="12"/>
        <v>62.924999999999997</v>
      </c>
      <c r="AG29" s="242" t="s">
        <v>84</v>
      </c>
      <c r="AH29" s="244" t="s">
        <v>93</v>
      </c>
      <c r="AI29" s="243" t="s">
        <v>85</v>
      </c>
      <c r="AJ29" s="244">
        <v>90</v>
      </c>
      <c r="AK29" s="244">
        <v>90</v>
      </c>
      <c r="AL29" s="244">
        <v>89</v>
      </c>
      <c r="AM29" s="239">
        <f t="shared" si="13"/>
        <v>269</v>
      </c>
      <c r="AN29" s="251">
        <f t="shared" si="17"/>
        <v>89.666666666666671</v>
      </c>
      <c r="AO29" s="251">
        <f t="shared" si="20"/>
        <v>26.900000000000002</v>
      </c>
      <c r="AP29" s="251">
        <f t="shared" si="18"/>
        <v>988</v>
      </c>
      <c r="AQ29" s="251">
        <f t="shared" si="21"/>
        <v>89.825000000000003</v>
      </c>
      <c r="AR29" s="241" t="str">
        <f t="shared" si="19"/>
        <v>SATISFACTORIO</v>
      </c>
      <c r="AV29" s="221" t="s">
        <v>23</v>
      </c>
    </row>
    <row r="30" spans="1:50" ht="15" customHeight="1">
      <c r="A30" s="155">
        <v>16</v>
      </c>
      <c r="B30" s="231" t="s">
        <v>78</v>
      </c>
      <c r="C30" s="243" t="s">
        <v>79</v>
      </c>
      <c r="D30" s="244" t="s">
        <v>74</v>
      </c>
      <c r="E30" s="260">
        <v>37335635</v>
      </c>
      <c r="F30" s="255" t="s">
        <v>196</v>
      </c>
      <c r="G30" s="247" t="s">
        <v>91</v>
      </c>
      <c r="H30" s="256"/>
      <c r="I30" s="249" t="s">
        <v>82</v>
      </c>
      <c r="J30" s="259" t="s">
        <v>76</v>
      </c>
      <c r="K30" s="249" t="s">
        <v>76</v>
      </c>
      <c r="L30" s="257">
        <v>40</v>
      </c>
      <c r="M30" s="257">
        <v>15</v>
      </c>
      <c r="N30" s="257">
        <v>15</v>
      </c>
      <c r="O30" s="257">
        <v>89</v>
      </c>
      <c r="P30" s="257">
        <v>90</v>
      </c>
      <c r="Q30" s="257">
        <v>90</v>
      </c>
      <c r="R30" s="257">
        <v>89</v>
      </c>
      <c r="S30" s="239">
        <f t="shared" si="1"/>
        <v>358</v>
      </c>
      <c r="T30" s="240">
        <f t="shared" si="2"/>
        <v>89.5</v>
      </c>
      <c r="U30" s="240">
        <f t="shared" si="3"/>
        <v>35.799999999999997</v>
      </c>
      <c r="V30" s="244">
        <v>90</v>
      </c>
      <c r="W30" s="244">
        <v>89</v>
      </c>
      <c r="X30" s="239">
        <f t="shared" si="8"/>
        <v>179</v>
      </c>
      <c r="Y30" s="240">
        <f t="shared" si="9"/>
        <v>89.5</v>
      </c>
      <c r="Z30" s="240">
        <f t="shared" si="4"/>
        <v>13.425000000000001</v>
      </c>
      <c r="AA30" s="244">
        <v>90</v>
      </c>
      <c r="AB30" s="244">
        <v>89</v>
      </c>
      <c r="AC30" s="239">
        <f t="shared" si="10"/>
        <v>179</v>
      </c>
      <c r="AD30" s="240">
        <f t="shared" si="11"/>
        <v>89.5</v>
      </c>
      <c r="AE30" s="240">
        <f t="shared" si="5"/>
        <v>13.425000000000001</v>
      </c>
      <c r="AF30" s="251">
        <f t="shared" si="12"/>
        <v>62.649999999999991</v>
      </c>
      <c r="AG30" s="244" t="s">
        <v>89</v>
      </c>
      <c r="AH30" s="242" t="s">
        <v>84</v>
      </c>
      <c r="AI30" s="243" t="s">
        <v>86</v>
      </c>
      <c r="AJ30" s="244">
        <v>90</v>
      </c>
      <c r="AK30" s="244">
        <v>90</v>
      </c>
      <c r="AL30" s="244">
        <v>89</v>
      </c>
      <c r="AM30" s="239">
        <f t="shared" si="13"/>
        <v>269</v>
      </c>
      <c r="AN30" s="251">
        <f t="shared" si="17"/>
        <v>92.333333333333329</v>
      </c>
      <c r="AO30" s="251">
        <f t="shared" si="20"/>
        <v>26.900000000000002</v>
      </c>
      <c r="AP30" s="251">
        <f t="shared" si="18"/>
        <v>985</v>
      </c>
      <c r="AQ30" s="251">
        <f t="shared" si="21"/>
        <v>89.55</v>
      </c>
      <c r="AR30" s="241" t="str">
        <f t="shared" si="19"/>
        <v>SATISFACTORIO</v>
      </c>
      <c r="AV30" s="220" t="s">
        <v>76</v>
      </c>
    </row>
    <row r="31" spans="1:50" ht="15" customHeight="1">
      <c r="A31" s="155">
        <v>17</v>
      </c>
      <c r="B31" s="231" t="s">
        <v>78</v>
      </c>
      <c r="C31" s="243" t="s">
        <v>79</v>
      </c>
      <c r="D31" s="244" t="s">
        <v>74</v>
      </c>
      <c r="E31" s="260">
        <v>88281928</v>
      </c>
      <c r="F31" s="255" t="s">
        <v>197</v>
      </c>
      <c r="G31" s="252" t="s">
        <v>198</v>
      </c>
      <c r="H31" s="256"/>
      <c r="I31" s="249" t="s">
        <v>82</v>
      </c>
      <c r="J31" s="258" t="s">
        <v>88</v>
      </c>
      <c r="K31" s="261" t="s">
        <v>88</v>
      </c>
      <c r="L31" s="257">
        <v>40</v>
      </c>
      <c r="M31" s="257">
        <v>15</v>
      </c>
      <c r="N31" s="257">
        <v>15</v>
      </c>
      <c r="O31" s="257">
        <v>92</v>
      </c>
      <c r="P31" s="257">
        <v>92</v>
      </c>
      <c r="Q31" s="257">
        <v>92</v>
      </c>
      <c r="R31" s="257">
        <v>92</v>
      </c>
      <c r="S31" s="239">
        <f t="shared" si="1"/>
        <v>368</v>
      </c>
      <c r="T31" s="240">
        <f t="shared" si="2"/>
        <v>92</v>
      </c>
      <c r="U31" s="240">
        <f t="shared" si="3"/>
        <v>36.799999999999997</v>
      </c>
      <c r="V31" s="244">
        <v>92</v>
      </c>
      <c r="W31" s="244">
        <v>92</v>
      </c>
      <c r="X31" s="239">
        <f t="shared" si="8"/>
        <v>184</v>
      </c>
      <c r="Y31" s="240">
        <f t="shared" si="9"/>
        <v>92</v>
      </c>
      <c r="Z31" s="240">
        <f t="shared" si="4"/>
        <v>13.8</v>
      </c>
      <c r="AA31" s="244">
        <v>92</v>
      </c>
      <c r="AB31" s="244">
        <v>92</v>
      </c>
      <c r="AC31" s="239">
        <f t="shared" si="10"/>
        <v>184</v>
      </c>
      <c r="AD31" s="240">
        <f t="shared" si="11"/>
        <v>92</v>
      </c>
      <c r="AE31" s="240">
        <f t="shared" si="5"/>
        <v>13.8</v>
      </c>
      <c r="AF31" s="251">
        <f t="shared" si="12"/>
        <v>64.399999999999991</v>
      </c>
      <c r="AG31" s="244" t="s">
        <v>77</v>
      </c>
      <c r="AH31" s="243" t="s">
        <v>86</v>
      </c>
      <c r="AI31" s="243" t="s">
        <v>101</v>
      </c>
      <c r="AJ31" s="244">
        <v>93</v>
      </c>
      <c r="AK31" s="244">
        <v>92</v>
      </c>
      <c r="AL31" s="244">
        <v>92</v>
      </c>
      <c r="AM31" s="239">
        <f t="shared" si="13"/>
        <v>277</v>
      </c>
      <c r="AN31" s="251">
        <f>IF(AM15&gt;0,AVERAGE(AJ15:AL15))</f>
        <v>91.666666666666671</v>
      </c>
      <c r="AO31" s="251">
        <f t="shared" si="20"/>
        <v>27.7</v>
      </c>
      <c r="AP31" s="251">
        <f t="shared" si="18"/>
        <v>1013</v>
      </c>
      <c r="AQ31" s="251">
        <f t="shared" si="21"/>
        <v>92.1</v>
      </c>
      <c r="AR31" s="241" t="str">
        <f t="shared" si="19"/>
        <v>SOBRESALIENTE</v>
      </c>
      <c r="AV31" s="221" t="s">
        <v>88</v>
      </c>
    </row>
    <row r="32" spans="1:50" ht="15" customHeight="1">
      <c r="A32" s="155">
        <v>18</v>
      </c>
      <c r="B32" s="262" t="s">
        <v>78</v>
      </c>
      <c r="C32" s="249" t="s">
        <v>79</v>
      </c>
      <c r="D32" s="257" t="s">
        <v>74</v>
      </c>
      <c r="E32" s="260">
        <v>37321246</v>
      </c>
      <c r="F32" s="255" t="s">
        <v>199</v>
      </c>
      <c r="G32" s="247" t="s">
        <v>81</v>
      </c>
      <c r="H32" s="256"/>
      <c r="I32" s="249" t="s">
        <v>82</v>
      </c>
      <c r="J32" s="258" t="s">
        <v>20</v>
      </c>
      <c r="K32" s="249" t="s">
        <v>83</v>
      </c>
      <c r="L32" s="257">
        <v>40</v>
      </c>
      <c r="M32" s="257">
        <v>15</v>
      </c>
      <c r="N32" s="257">
        <v>15</v>
      </c>
      <c r="O32" s="257">
        <v>90</v>
      </c>
      <c r="P32" s="257">
        <v>92</v>
      </c>
      <c r="Q32" s="257">
        <v>90</v>
      </c>
      <c r="R32" s="257">
        <v>90</v>
      </c>
      <c r="S32" s="239">
        <f t="shared" si="1"/>
        <v>362</v>
      </c>
      <c r="T32" s="240">
        <f t="shared" si="2"/>
        <v>90.5</v>
      </c>
      <c r="U32" s="240">
        <f t="shared" si="3"/>
        <v>36.200000000000003</v>
      </c>
      <c r="V32" s="244">
        <v>91</v>
      </c>
      <c r="W32" s="244">
        <v>92</v>
      </c>
      <c r="X32" s="239">
        <f t="shared" si="8"/>
        <v>183</v>
      </c>
      <c r="Y32" s="240">
        <f t="shared" si="9"/>
        <v>91.5</v>
      </c>
      <c r="Z32" s="240">
        <f t="shared" si="4"/>
        <v>13.725</v>
      </c>
      <c r="AA32" s="244">
        <v>91</v>
      </c>
      <c r="AB32" s="244">
        <v>90</v>
      </c>
      <c r="AC32" s="239">
        <f t="shared" si="10"/>
        <v>181</v>
      </c>
      <c r="AD32" s="240">
        <f t="shared" si="11"/>
        <v>90.5</v>
      </c>
      <c r="AE32" s="240">
        <f t="shared" si="5"/>
        <v>13.574999999999999</v>
      </c>
      <c r="AF32" s="251">
        <f t="shared" si="12"/>
        <v>63.5</v>
      </c>
      <c r="AG32" s="244" t="s">
        <v>77</v>
      </c>
      <c r="AH32" s="242" t="s">
        <v>84</v>
      </c>
      <c r="AI32" s="243" t="s">
        <v>85</v>
      </c>
      <c r="AJ32" s="244">
        <v>92</v>
      </c>
      <c r="AK32" s="244">
        <v>92</v>
      </c>
      <c r="AL32" s="244">
        <v>92</v>
      </c>
      <c r="AM32" s="239">
        <f t="shared" si="13"/>
        <v>276</v>
      </c>
      <c r="AN32" s="251">
        <f>IF(AM16&gt;0,AVERAGE(AJ16:AL16))</f>
        <v>93</v>
      </c>
      <c r="AO32" s="251">
        <f t="shared" si="20"/>
        <v>27.5</v>
      </c>
      <c r="AP32" s="251">
        <f t="shared" si="18"/>
        <v>1002</v>
      </c>
      <c r="AQ32" s="251">
        <f t="shared" si="21"/>
        <v>91</v>
      </c>
      <c r="AR32" s="241" t="str">
        <f t="shared" si="19"/>
        <v>SOBRESALIENTE</v>
      </c>
    </row>
    <row r="33" spans="1:44" ht="15" customHeight="1">
      <c r="A33" s="155">
        <v>19</v>
      </c>
      <c r="B33" s="263" t="s">
        <v>78</v>
      </c>
      <c r="C33" s="264" t="s">
        <v>79</v>
      </c>
      <c r="D33" s="264" t="s">
        <v>74</v>
      </c>
      <c r="E33" s="265">
        <v>1075662783</v>
      </c>
      <c r="F33" s="266" t="s">
        <v>200</v>
      </c>
      <c r="G33" s="252" t="s">
        <v>198</v>
      </c>
      <c r="H33" s="267"/>
      <c r="I33" s="268" t="s">
        <v>82</v>
      </c>
      <c r="J33" s="259" t="s">
        <v>76</v>
      </c>
      <c r="K33" s="249" t="s">
        <v>88</v>
      </c>
      <c r="L33" s="257">
        <v>40</v>
      </c>
      <c r="M33" s="257">
        <v>15</v>
      </c>
      <c r="N33" s="257">
        <v>15</v>
      </c>
      <c r="O33" s="257">
        <v>90</v>
      </c>
      <c r="P33" s="257">
        <v>89</v>
      </c>
      <c r="Q33" s="257">
        <v>90</v>
      </c>
      <c r="R33" s="257">
        <v>89</v>
      </c>
      <c r="S33" s="239">
        <f t="shared" ref="S33:S38" si="22">SUM(O33:R33)</f>
        <v>358</v>
      </c>
      <c r="T33" s="240">
        <f t="shared" ref="T33:T38" si="23">IF(S33&gt;0,AVERAGE(O33:R33))</f>
        <v>89.5</v>
      </c>
      <c r="U33" s="240">
        <f t="shared" ref="U33:U38" si="24">(T33*L33)/100</f>
        <v>35.799999999999997</v>
      </c>
      <c r="V33" s="244">
        <v>89</v>
      </c>
      <c r="W33" s="244">
        <v>89</v>
      </c>
      <c r="X33" s="239">
        <f t="shared" ref="X33:X38" si="25">SUM(V33:W33)</f>
        <v>178</v>
      </c>
      <c r="Y33" s="240">
        <f t="shared" ref="Y33:Y38" si="26">IF(X33&gt;0,AVERAGE(V33:W33))</f>
        <v>89</v>
      </c>
      <c r="Z33" s="240">
        <f t="shared" ref="Z33:Z38" si="27">(Y33*M33)/100</f>
        <v>13.35</v>
      </c>
      <c r="AA33" s="244">
        <v>90</v>
      </c>
      <c r="AB33" s="244">
        <v>89</v>
      </c>
      <c r="AC33" s="239">
        <f t="shared" ref="AC33:AC38" si="28">SUM(AA33:AB33)</f>
        <v>179</v>
      </c>
      <c r="AD33" s="240">
        <f t="shared" ref="AD33:AD38" si="29">IF(AC33&gt;0,AVERAGE(AA33:AB33))</f>
        <v>89.5</v>
      </c>
      <c r="AE33" s="240">
        <f t="shared" ref="AE33:AE38" si="30">(AD33*N33)/100</f>
        <v>13.425000000000001</v>
      </c>
      <c r="AF33" s="251">
        <f t="shared" ref="AF33:AF38" si="31">U33+Z33+AE33</f>
        <v>62.575000000000003</v>
      </c>
      <c r="AG33" s="242" t="s">
        <v>84</v>
      </c>
      <c r="AH33" s="242" t="s">
        <v>85</v>
      </c>
      <c r="AI33" s="243" t="s">
        <v>86</v>
      </c>
      <c r="AJ33" s="244">
        <v>90</v>
      </c>
      <c r="AK33" s="244">
        <v>90</v>
      </c>
      <c r="AL33" s="244">
        <v>89</v>
      </c>
      <c r="AM33" s="239">
        <f t="shared" ref="AM33:AM38" si="32">SUM(AJ33:AL33)</f>
        <v>269</v>
      </c>
      <c r="AN33" s="251">
        <f t="shared" ref="AN33:AN38" si="33">IF(AM17&gt;0,AVERAGE(AJ17:AL17))</f>
        <v>89.666666666666671</v>
      </c>
      <c r="AO33" s="251">
        <f t="shared" ref="AO33:AO34" si="34">AN32*0.3</f>
        <v>27.9</v>
      </c>
      <c r="AP33" s="251">
        <f t="shared" ref="AP33:AP38" si="35">S33+X33+AC33+AM33</f>
        <v>984</v>
      </c>
      <c r="AQ33" s="251">
        <f t="shared" ref="AQ33:AQ38" si="36">IF(AP33&gt;0,(AF33+AO33))</f>
        <v>90.474999999999994</v>
      </c>
      <c r="AR33" s="241" t="str">
        <f t="shared" ref="AR33:AR38" si="37">IF(AQ33=FALSE,FALSE,IF(AQ33&lt;60,"NO SATISFACTORIO",IF(AQ33&gt;=90,"SOBRESALIENTE","SATISFACTORIO")))</f>
        <v>SOBRESALIENTE</v>
      </c>
    </row>
    <row r="34" spans="1:44" ht="15" customHeight="1">
      <c r="A34" s="155">
        <v>20</v>
      </c>
      <c r="B34" s="263" t="s">
        <v>78</v>
      </c>
      <c r="C34" s="264" t="s">
        <v>79</v>
      </c>
      <c r="D34" s="264" t="s">
        <v>74</v>
      </c>
      <c r="E34" s="265">
        <v>37325973</v>
      </c>
      <c r="F34" s="266" t="s">
        <v>201</v>
      </c>
      <c r="G34" s="252" t="s">
        <v>198</v>
      </c>
      <c r="H34" s="256"/>
      <c r="I34" s="264" t="s">
        <v>82</v>
      </c>
      <c r="J34" s="253" t="s">
        <v>20</v>
      </c>
      <c r="K34" s="249" t="s">
        <v>88</v>
      </c>
      <c r="L34" s="257">
        <v>40</v>
      </c>
      <c r="M34" s="257">
        <v>15</v>
      </c>
      <c r="N34" s="257">
        <v>15</v>
      </c>
      <c r="O34" s="257">
        <v>91</v>
      </c>
      <c r="P34" s="257">
        <v>91</v>
      </c>
      <c r="Q34" s="257">
        <v>90</v>
      </c>
      <c r="R34" s="257">
        <v>91</v>
      </c>
      <c r="S34" s="239">
        <f t="shared" si="22"/>
        <v>363</v>
      </c>
      <c r="T34" s="240">
        <f t="shared" si="23"/>
        <v>90.75</v>
      </c>
      <c r="U34" s="240">
        <f t="shared" si="24"/>
        <v>36.299999999999997</v>
      </c>
      <c r="V34" s="244">
        <v>90</v>
      </c>
      <c r="W34" s="244">
        <v>90</v>
      </c>
      <c r="X34" s="239">
        <f t="shared" si="25"/>
        <v>180</v>
      </c>
      <c r="Y34" s="240">
        <f t="shared" si="26"/>
        <v>90</v>
      </c>
      <c r="Z34" s="240">
        <f t="shared" si="27"/>
        <v>13.5</v>
      </c>
      <c r="AA34" s="244">
        <v>92</v>
      </c>
      <c r="AB34" s="244">
        <v>90</v>
      </c>
      <c r="AC34" s="239">
        <f t="shared" si="28"/>
        <v>182</v>
      </c>
      <c r="AD34" s="240">
        <f t="shared" si="29"/>
        <v>91</v>
      </c>
      <c r="AE34" s="240">
        <f t="shared" si="30"/>
        <v>13.65</v>
      </c>
      <c r="AF34" s="251">
        <f t="shared" si="31"/>
        <v>63.449999999999996</v>
      </c>
      <c r="AG34" s="244" t="s">
        <v>77</v>
      </c>
      <c r="AH34" s="242" t="s">
        <v>84</v>
      </c>
      <c r="AI34" s="243" t="s">
        <v>85</v>
      </c>
      <c r="AJ34" s="244">
        <v>92</v>
      </c>
      <c r="AK34" s="244">
        <v>92</v>
      </c>
      <c r="AL34" s="244">
        <v>92</v>
      </c>
      <c r="AM34" s="239">
        <f t="shared" si="32"/>
        <v>276</v>
      </c>
      <c r="AN34" s="251">
        <f t="shared" si="33"/>
        <v>90</v>
      </c>
      <c r="AO34" s="251">
        <f t="shared" si="34"/>
        <v>26.900000000000002</v>
      </c>
      <c r="AP34" s="251">
        <f t="shared" si="35"/>
        <v>1001</v>
      </c>
      <c r="AQ34" s="251">
        <f t="shared" si="36"/>
        <v>90.35</v>
      </c>
      <c r="AR34" s="241" t="str">
        <f t="shared" si="37"/>
        <v>SOBRESALIENTE</v>
      </c>
    </row>
    <row r="35" spans="1:44" ht="15" customHeight="1">
      <c r="A35" s="155">
        <v>24</v>
      </c>
      <c r="B35" s="263" t="s">
        <v>78</v>
      </c>
      <c r="C35" s="264" t="s">
        <v>79</v>
      </c>
      <c r="D35" s="264" t="s">
        <v>74</v>
      </c>
      <c r="E35" s="265">
        <v>37278397</v>
      </c>
      <c r="F35" s="266" t="s">
        <v>202</v>
      </c>
      <c r="G35" s="247" t="s">
        <v>81</v>
      </c>
      <c r="H35" s="256"/>
      <c r="I35" s="264" t="s">
        <v>82</v>
      </c>
      <c r="J35" s="258" t="s">
        <v>17</v>
      </c>
      <c r="K35" s="249" t="s">
        <v>83</v>
      </c>
      <c r="L35" s="257">
        <v>40</v>
      </c>
      <c r="M35" s="257">
        <v>15</v>
      </c>
      <c r="N35" s="257">
        <v>15</v>
      </c>
      <c r="O35" s="257">
        <v>93</v>
      </c>
      <c r="P35" s="257">
        <v>92</v>
      </c>
      <c r="Q35" s="257">
        <v>92</v>
      </c>
      <c r="R35" s="257">
        <v>92</v>
      </c>
      <c r="S35" s="239">
        <f t="shared" si="22"/>
        <v>369</v>
      </c>
      <c r="T35" s="240">
        <f t="shared" si="23"/>
        <v>92.25</v>
      </c>
      <c r="U35" s="240">
        <f t="shared" si="24"/>
        <v>36.9</v>
      </c>
      <c r="V35" s="244">
        <v>92</v>
      </c>
      <c r="W35" s="244">
        <v>96</v>
      </c>
      <c r="X35" s="239">
        <f t="shared" si="25"/>
        <v>188</v>
      </c>
      <c r="Y35" s="240">
        <f t="shared" si="26"/>
        <v>94</v>
      </c>
      <c r="Z35" s="240">
        <f t="shared" si="27"/>
        <v>14.1</v>
      </c>
      <c r="AA35" s="244">
        <v>93</v>
      </c>
      <c r="AB35" s="244">
        <v>94</v>
      </c>
      <c r="AC35" s="239">
        <f t="shared" si="28"/>
        <v>187</v>
      </c>
      <c r="AD35" s="240">
        <f t="shared" si="29"/>
        <v>93.5</v>
      </c>
      <c r="AE35" s="240">
        <f t="shared" si="30"/>
        <v>14.025</v>
      </c>
      <c r="AF35" s="251">
        <f t="shared" si="31"/>
        <v>65.025000000000006</v>
      </c>
      <c r="AG35" s="244" t="s">
        <v>77</v>
      </c>
      <c r="AH35" s="242" t="s">
        <v>84</v>
      </c>
      <c r="AI35" s="243" t="s">
        <v>85</v>
      </c>
      <c r="AJ35" s="244">
        <v>94</v>
      </c>
      <c r="AK35" s="244">
        <v>93</v>
      </c>
      <c r="AL35" s="244">
        <v>93</v>
      </c>
      <c r="AM35" s="239">
        <f t="shared" si="32"/>
        <v>280</v>
      </c>
      <c r="AN35" s="251">
        <v>93.3</v>
      </c>
      <c r="AO35" s="251">
        <v>28</v>
      </c>
      <c r="AP35" s="251">
        <f t="shared" si="35"/>
        <v>1024</v>
      </c>
      <c r="AQ35" s="251">
        <f t="shared" si="36"/>
        <v>93.025000000000006</v>
      </c>
      <c r="AR35" s="241" t="str">
        <f t="shared" si="37"/>
        <v>SOBRESALIENTE</v>
      </c>
    </row>
    <row r="36" spans="1:44" ht="15" customHeight="1">
      <c r="A36" s="155">
        <v>25</v>
      </c>
      <c r="B36" s="263" t="s">
        <v>78</v>
      </c>
      <c r="C36" s="264" t="s">
        <v>79</v>
      </c>
      <c r="D36" s="264" t="s">
        <v>74</v>
      </c>
      <c r="E36" s="265">
        <v>1091657552</v>
      </c>
      <c r="F36" s="266" t="s">
        <v>107</v>
      </c>
      <c r="G36" s="247" t="s">
        <v>91</v>
      </c>
      <c r="H36" s="256"/>
      <c r="I36" s="264" t="s">
        <v>82</v>
      </c>
      <c r="J36" s="258" t="s">
        <v>76</v>
      </c>
      <c r="K36" s="249" t="s">
        <v>76</v>
      </c>
      <c r="L36" s="257">
        <v>40</v>
      </c>
      <c r="M36" s="257">
        <v>15</v>
      </c>
      <c r="N36" s="257">
        <v>15</v>
      </c>
      <c r="O36" s="257">
        <v>91</v>
      </c>
      <c r="P36" s="257">
        <v>90</v>
      </c>
      <c r="Q36" s="257">
        <v>90</v>
      </c>
      <c r="R36" s="257">
        <v>90</v>
      </c>
      <c r="S36" s="239">
        <f t="shared" si="22"/>
        <v>361</v>
      </c>
      <c r="T36" s="240">
        <f t="shared" si="23"/>
        <v>90.25</v>
      </c>
      <c r="U36" s="240">
        <f t="shared" si="24"/>
        <v>36.1</v>
      </c>
      <c r="V36" s="244">
        <v>90</v>
      </c>
      <c r="W36" s="244">
        <v>90</v>
      </c>
      <c r="X36" s="239">
        <f t="shared" si="25"/>
        <v>180</v>
      </c>
      <c r="Y36" s="240">
        <f t="shared" si="26"/>
        <v>90</v>
      </c>
      <c r="Z36" s="240">
        <f t="shared" si="27"/>
        <v>13.5</v>
      </c>
      <c r="AA36" s="244">
        <v>90</v>
      </c>
      <c r="AB36" s="244">
        <v>90</v>
      </c>
      <c r="AC36" s="239">
        <f t="shared" si="28"/>
        <v>180</v>
      </c>
      <c r="AD36" s="240">
        <f t="shared" si="29"/>
        <v>90</v>
      </c>
      <c r="AE36" s="240">
        <f t="shared" si="30"/>
        <v>13.5</v>
      </c>
      <c r="AF36" s="251">
        <f t="shared" si="31"/>
        <v>63.1</v>
      </c>
      <c r="AG36" s="242" t="s">
        <v>84</v>
      </c>
      <c r="AH36" s="242" t="s">
        <v>93</v>
      </c>
      <c r="AI36" s="243" t="s">
        <v>85</v>
      </c>
      <c r="AJ36" s="244">
        <v>92</v>
      </c>
      <c r="AK36" s="244">
        <v>91</v>
      </c>
      <c r="AL36" s="244">
        <v>92</v>
      </c>
      <c r="AM36" s="239">
        <f t="shared" si="32"/>
        <v>275</v>
      </c>
      <c r="AN36" s="251">
        <v>91.67</v>
      </c>
      <c r="AO36" s="251">
        <v>27.5</v>
      </c>
      <c r="AP36" s="251">
        <f t="shared" si="35"/>
        <v>996</v>
      </c>
      <c r="AQ36" s="251">
        <f t="shared" si="36"/>
        <v>90.6</v>
      </c>
      <c r="AR36" s="241" t="str">
        <f t="shared" si="37"/>
        <v>SOBRESALIENTE</v>
      </c>
    </row>
    <row r="37" spans="1:44" ht="15" customHeight="1">
      <c r="A37" s="155">
        <v>26</v>
      </c>
      <c r="B37" s="263" t="s">
        <v>78</v>
      </c>
      <c r="C37" s="264" t="s">
        <v>79</v>
      </c>
      <c r="D37" s="264" t="s">
        <v>74</v>
      </c>
      <c r="E37" s="265">
        <v>1090470821</v>
      </c>
      <c r="F37" s="266" t="s">
        <v>203</v>
      </c>
      <c r="G37" s="247" t="s">
        <v>81</v>
      </c>
      <c r="H37" s="256"/>
      <c r="I37" s="264" t="s">
        <v>82</v>
      </c>
      <c r="J37" s="258" t="s">
        <v>97</v>
      </c>
      <c r="K37" s="249" t="s">
        <v>83</v>
      </c>
      <c r="L37" s="257">
        <v>40</v>
      </c>
      <c r="M37" s="257">
        <v>15</v>
      </c>
      <c r="N37" s="257">
        <v>15</v>
      </c>
      <c r="O37" s="257">
        <v>90</v>
      </c>
      <c r="P37" s="257">
        <v>89</v>
      </c>
      <c r="Q37" s="257">
        <v>90</v>
      </c>
      <c r="R37" s="257">
        <v>90</v>
      </c>
      <c r="S37" s="239">
        <f t="shared" si="22"/>
        <v>359</v>
      </c>
      <c r="T37" s="240">
        <f t="shared" si="23"/>
        <v>89.75</v>
      </c>
      <c r="U37" s="240">
        <f t="shared" si="24"/>
        <v>35.9</v>
      </c>
      <c r="V37" s="244">
        <v>90</v>
      </c>
      <c r="W37" s="244">
        <v>89</v>
      </c>
      <c r="X37" s="239">
        <f t="shared" si="25"/>
        <v>179</v>
      </c>
      <c r="Y37" s="240">
        <f t="shared" si="26"/>
        <v>89.5</v>
      </c>
      <c r="Z37" s="240">
        <f t="shared" si="27"/>
        <v>13.425000000000001</v>
      </c>
      <c r="AA37" s="244">
        <v>89</v>
      </c>
      <c r="AB37" s="244">
        <v>90</v>
      </c>
      <c r="AC37" s="239">
        <f t="shared" si="28"/>
        <v>179</v>
      </c>
      <c r="AD37" s="240">
        <f t="shared" si="29"/>
        <v>89.5</v>
      </c>
      <c r="AE37" s="240">
        <f t="shared" si="30"/>
        <v>13.425000000000001</v>
      </c>
      <c r="AF37" s="251">
        <f t="shared" si="31"/>
        <v>62.75</v>
      </c>
      <c r="AG37" s="242" t="s">
        <v>84</v>
      </c>
      <c r="AH37" s="242" t="s">
        <v>85</v>
      </c>
      <c r="AI37" s="243" t="s">
        <v>86</v>
      </c>
      <c r="AJ37" s="244">
        <v>89</v>
      </c>
      <c r="AK37" s="244">
        <v>90</v>
      </c>
      <c r="AL37" s="244">
        <v>89</v>
      </c>
      <c r="AM37" s="239">
        <f t="shared" si="32"/>
        <v>268</v>
      </c>
      <c r="AN37" s="251">
        <v>89.33</v>
      </c>
      <c r="AO37" s="251">
        <v>26.8</v>
      </c>
      <c r="AP37" s="251">
        <f t="shared" si="35"/>
        <v>985</v>
      </c>
      <c r="AQ37" s="251">
        <f t="shared" si="36"/>
        <v>89.55</v>
      </c>
      <c r="AR37" s="241" t="str">
        <f t="shared" si="37"/>
        <v>SATISFACTORIO</v>
      </c>
    </row>
    <row r="38" spans="1:44" ht="15" customHeight="1">
      <c r="A38" s="155">
        <v>27</v>
      </c>
      <c r="B38" s="263" t="s">
        <v>78</v>
      </c>
      <c r="C38" s="264" t="s">
        <v>79</v>
      </c>
      <c r="D38" s="264" t="s">
        <v>74</v>
      </c>
      <c r="E38" s="265">
        <v>1065243434</v>
      </c>
      <c r="F38" s="266" t="s">
        <v>204</v>
      </c>
      <c r="G38" s="252" t="s">
        <v>81</v>
      </c>
      <c r="H38" s="256"/>
      <c r="I38" s="264" t="s">
        <v>82</v>
      </c>
      <c r="J38" s="253" t="s">
        <v>20</v>
      </c>
      <c r="K38" s="249" t="s">
        <v>83</v>
      </c>
      <c r="L38" s="257">
        <v>40</v>
      </c>
      <c r="M38" s="257">
        <v>15</v>
      </c>
      <c r="N38" s="257">
        <v>15</v>
      </c>
      <c r="O38" s="257">
        <v>91</v>
      </c>
      <c r="P38" s="257">
        <v>91</v>
      </c>
      <c r="Q38" s="257">
        <v>91</v>
      </c>
      <c r="R38" s="257">
        <v>90</v>
      </c>
      <c r="S38" s="239">
        <f t="shared" si="22"/>
        <v>363</v>
      </c>
      <c r="T38" s="240">
        <f t="shared" si="23"/>
        <v>90.75</v>
      </c>
      <c r="U38" s="240">
        <f t="shared" si="24"/>
        <v>36.299999999999997</v>
      </c>
      <c r="V38" s="244">
        <v>91</v>
      </c>
      <c r="W38" s="244">
        <v>92</v>
      </c>
      <c r="X38" s="239">
        <f t="shared" si="25"/>
        <v>183</v>
      </c>
      <c r="Y38" s="240">
        <f t="shared" si="26"/>
        <v>91.5</v>
      </c>
      <c r="Z38" s="240">
        <f t="shared" si="27"/>
        <v>13.725</v>
      </c>
      <c r="AA38" s="244">
        <v>92</v>
      </c>
      <c r="AB38" s="244">
        <v>91</v>
      </c>
      <c r="AC38" s="239">
        <f t="shared" si="28"/>
        <v>183</v>
      </c>
      <c r="AD38" s="240">
        <f t="shared" si="29"/>
        <v>91.5</v>
      </c>
      <c r="AE38" s="240">
        <f t="shared" si="30"/>
        <v>13.725</v>
      </c>
      <c r="AF38" s="251">
        <f t="shared" si="31"/>
        <v>63.75</v>
      </c>
      <c r="AG38" s="244" t="s">
        <v>77</v>
      </c>
      <c r="AH38" s="242" t="s">
        <v>89</v>
      </c>
      <c r="AI38" s="242" t="s">
        <v>84</v>
      </c>
      <c r="AJ38" s="244">
        <v>91</v>
      </c>
      <c r="AK38" s="244">
        <v>91</v>
      </c>
      <c r="AL38" s="244">
        <v>92</v>
      </c>
      <c r="AM38" s="239">
        <f t="shared" si="32"/>
        <v>274</v>
      </c>
      <c r="AN38" s="251">
        <f t="shared" si="33"/>
        <v>91.333333333333329</v>
      </c>
      <c r="AO38" s="251">
        <v>27.4</v>
      </c>
      <c r="AP38" s="251">
        <f t="shared" si="35"/>
        <v>1003</v>
      </c>
      <c r="AQ38" s="251">
        <f t="shared" si="36"/>
        <v>91.15</v>
      </c>
      <c r="AR38" s="241" t="str">
        <f t="shared" si="37"/>
        <v>SOBRESALIENTE</v>
      </c>
    </row>
    <row r="39" spans="1:44" ht="15" customHeight="1">
      <c r="A39" s="155">
        <v>28</v>
      </c>
      <c r="B39" s="263" t="s">
        <v>78</v>
      </c>
      <c r="C39" s="264" t="s">
        <v>79</v>
      </c>
      <c r="D39" s="264" t="s">
        <v>74</v>
      </c>
      <c r="E39" s="265">
        <v>37331034</v>
      </c>
      <c r="F39" s="266" t="s">
        <v>205</v>
      </c>
      <c r="G39" s="252" t="s">
        <v>81</v>
      </c>
      <c r="H39" s="256"/>
      <c r="I39" s="264" t="s">
        <v>82</v>
      </c>
      <c r="J39" s="253" t="s">
        <v>3</v>
      </c>
      <c r="K39" s="249" t="s">
        <v>83</v>
      </c>
      <c r="L39" s="257">
        <v>40</v>
      </c>
      <c r="M39" s="257">
        <v>15</v>
      </c>
      <c r="N39" s="257">
        <v>15</v>
      </c>
      <c r="O39" s="257">
        <v>93</v>
      </c>
      <c r="P39" s="257">
        <v>90</v>
      </c>
      <c r="Q39" s="257">
        <v>90</v>
      </c>
      <c r="R39" s="257">
        <v>90</v>
      </c>
      <c r="S39" s="239">
        <f t="shared" ref="S39:S42" si="38">SUM(O39:R39)</f>
        <v>363</v>
      </c>
      <c r="T39" s="240">
        <f t="shared" ref="T39:T42" si="39">IF(S39&gt;0,AVERAGE(O39:R39))</f>
        <v>90.75</v>
      </c>
      <c r="U39" s="240">
        <f t="shared" ref="U39:U42" si="40">(T39*L39)/100</f>
        <v>36.299999999999997</v>
      </c>
      <c r="V39" s="244">
        <v>91</v>
      </c>
      <c r="W39" s="244">
        <v>95</v>
      </c>
      <c r="X39" s="239">
        <f t="shared" ref="X39:X42" si="41">SUM(V39:W39)</f>
        <v>186</v>
      </c>
      <c r="Y39" s="240">
        <f t="shared" ref="Y39:Y42" si="42">IF(X39&gt;0,AVERAGE(V39:W39))</f>
        <v>93</v>
      </c>
      <c r="Z39" s="240">
        <f t="shared" ref="Z39:Z42" si="43">(Y39*M39)/100</f>
        <v>13.95</v>
      </c>
      <c r="AA39" s="244">
        <v>91</v>
      </c>
      <c r="AB39" s="244">
        <v>91</v>
      </c>
      <c r="AC39" s="239">
        <f t="shared" ref="AC39:AC42" si="44">SUM(AA39:AB39)</f>
        <v>182</v>
      </c>
      <c r="AD39" s="240">
        <f t="shared" ref="AD39:AD42" si="45">IF(AC39&gt;0,AVERAGE(AA39:AB39))</f>
        <v>91</v>
      </c>
      <c r="AE39" s="240">
        <f t="shared" ref="AE39:AE42" si="46">(AD39*N39)/100</f>
        <v>13.65</v>
      </c>
      <c r="AF39" s="251">
        <f t="shared" ref="AF39:AF42" si="47">U39+Z39+AE39</f>
        <v>63.9</v>
      </c>
      <c r="AG39" s="244" t="s">
        <v>77</v>
      </c>
      <c r="AH39" s="242" t="s">
        <v>84</v>
      </c>
      <c r="AI39" s="242" t="s">
        <v>86</v>
      </c>
      <c r="AJ39" s="244">
        <v>92</v>
      </c>
      <c r="AK39" s="244">
        <v>91</v>
      </c>
      <c r="AL39" s="244">
        <v>92</v>
      </c>
      <c r="AM39" s="239">
        <f t="shared" ref="AM39:AM42" si="48">SUM(AJ39:AL39)</f>
        <v>275</v>
      </c>
      <c r="AN39" s="251">
        <v>91.67</v>
      </c>
      <c r="AO39" s="251">
        <v>27.5</v>
      </c>
      <c r="AP39" s="251">
        <f t="shared" ref="AP39:AP42" si="49">S39+X39+AC39+AM39</f>
        <v>1006</v>
      </c>
      <c r="AQ39" s="251">
        <f t="shared" ref="AQ39:AQ42" si="50">IF(AP39&gt;0,(AF39+AO39))</f>
        <v>91.4</v>
      </c>
      <c r="AR39" s="241" t="str">
        <f t="shared" ref="AR39:AR42" si="51">IF(AQ39=FALSE,FALSE,IF(AQ39&lt;60,"NO SATISFACTORIO",IF(AQ39&gt;=90,"SOBRESALIENTE","SATISFACTORIO")))</f>
        <v>SOBRESALIENTE</v>
      </c>
    </row>
    <row r="40" spans="1:44" ht="15" customHeight="1">
      <c r="A40" s="155">
        <v>29</v>
      </c>
      <c r="B40" s="263" t="s">
        <v>78</v>
      </c>
      <c r="C40" s="264" t="s">
        <v>79</v>
      </c>
      <c r="D40" s="264" t="s">
        <v>74</v>
      </c>
      <c r="E40" s="265">
        <v>37327274</v>
      </c>
      <c r="F40" s="266" t="s">
        <v>206</v>
      </c>
      <c r="G40" s="247" t="s">
        <v>91</v>
      </c>
      <c r="H40" s="256"/>
      <c r="I40" s="264" t="s">
        <v>82</v>
      </c>
      <c r="J40" s="253" t="s">
        <v>88</v>
      </c>
      <c r="K40" s="249" t="s">
        <v>88</v>
      </c>
      <c r="L40" s="257">
        <v>40</v>
      </c>
      <c r="M40" s="257">
        <v>15</v>
      </c>
      <c r="N40" s="257">
        <v>15</v>
      </c>
      <c r="O40" s="257">
        <v>91</v>
      </c>
      <c r="P40" s="257">
        <v>91</v>
      </c>
      <c r="Q40" s="257">
        <v>91</v>
      </c>
      <c r="R40" s="257">
        <v>91</v>
      </c>
      <c r="S40" s="239">
        <f t="shared" si="38"/>
        <v>364</v>
      </c>
      <c r="T40" s="240">
        <f t="shared" si="39"/>
        <v>91</v>
      </c>
      <c r="U40" s="240">
        <f t="shared" si="40"/>
        <v>36.4</v>
      </c>
      <c r="V40" s="244">
        <v>90</v>
      </c>
      <c r="W40" s="244">
        <v>90</v>
      </c>
      <c r="X40" s="239">
        <f t="shared" si="41"/>
        <v>180</v>
      </c>
      <c r="Y40" s="240">
        <f t="shared" si="42"/>
        <v>90</v>
      </c>
      <c r="Z40" s="240">
        <f t="shared" si="43"/>
        <v>13.5</v>
      </c>
      <c r="AA40" s="244">
        <v>90</v>
      </c>
      <c r="AB40" s="244">
        <v>90</v>
      </c>
      <c r="AC40" s="239">
        <f t="shared" si="44"/>
        <v>180</v>
      </c>
      <c r="AD40" s="240">
        <f t="shared" si="45"/>
        <v>90</v>
      </c>
      <c r="AE40" s="240">
        <f t="shared" si="46"/>
        <v>13.5</v>
      </c>
      <c r="AF40" s="251">
        <f t="shared" si="47"/>
        <v>63.4</v>
      </c>
      <c r="AG40" s="244" t="s">
        <v>77</v>
      </c>
      <c r="AH40" s="242" t="s">
        <v>84</v>
      </c>
      <c r="AI40" s="242" t="s">
        <v>93</v>
      </c>
      <c r="AJ40" s="244">
        <v>92</v>
      </c>
      <c r="AK40" s="244">
        <v>92</v>
      </c>
      <c r="AL40" s="244">
        <v>92</v>
      </c>
      <c r="AM40" s="239">
        <f t="shared" si="48"/>
        <v>276</v>
      </c>
      <c r="AN40" s="251">
        <v>92</v>
      </c>
      <c r="AO40" s="251">
        <v>27.6</v>
      </c>
      <c r="AP40" s="251">
        <f t="shared" si="49"/>
        <v>1000</v>
      </c>
      <c r="AQ40" s="251">
        <f t="shared" si="50"/>
        <v>91</v>
      </c>
      <c r="AR40" s="241" t="str">
        <f t="shared" si="51"/>
        <v>SOBRESALIENTE</v>
      </c>
    </row>
    <row r="41" spans="1:44" ht="15" customHeight="1">
      <c r="A41" s="155">
        <v>30</v>
      </c>
      <c r="B41" s="263" t="s">
        <v>78</v>
      </c>
      <c r="C41" s="264" t="s">
        <v>79</v>
      </c>
      <c r="D41" s="264" t="s">
        <v>74</v>
      </c>
      <c r="E41" s="265">
        <v>1091674335</v>
      </c>
      <c r="F41" s="266" t="s">
        <v>207</v>
      </c>
      <c r="G41" s="252" t="s">
        <v>81</v>
      </c>
      <c r="H41" s="256"/>
      <c r="I41" s="264" t="s">
        <v>82</v>
      </c>
      <c r="J41" s="253"/>
      <c r="K41" s="249" t="s">
        <v>83</v>
      </c>
      <c r="L41" s="257">
        <v>40</v>
      </c>
      <c r="M41" s="257">
        <v>15</v>
      </c>
      <c r="N41" s="257">
        <v>15</v>
      </c>
      <c r="O41" s="257">
        <v>90</v>
      </c>
      <c r="P41" s="257">
        <v>89</v>
      </c>
      <c r="Q41" s="257">
        <v>89</v>
      </c>
      <c r="R41" s="257">
        <v>89</v>
      </c>
      <c r="S41" s="239">
        <f t="shared" si="38"/>
        <v>357</v>
      </c>
      <c r="T41" s="240">
        <f t="shared" si="39"/>
        <v>89.25</v>
      </c>
      <c r="U41" s="240">
        <f t="shared" si="40"/>
        <v>35.700000000000003</v>
      </c>
      <c r="V41" s="244">
        <v>89</v>
      </c>
      <c r="W41" s="244">
        <v>88</v>
      </c>
      <c r="X41" s="239">
        <f t="shared" si="41"/>
        <v>177</v>
      </c>
      <c r="Y41" s="240">
        <f t="shared" si="42"/>
        <v>88.5</v>
      </c>
      <c r="Z41" s="240">
        <f t="shared" si="43"/>
        <v>13.275</v>
      </c>
      <c r="AA41" s="244">
        <v>88</v>
      </c>
      <c r="AB41" s="244">
        <v>88</v>
      </c>
      <c r="AC41" s="239">
        <f t="shared" si="44"/>
        <v>176</v>
      </c>
      <c r="AD41" s="240">
        <f t="shared" si="45"/>
        <v>88</v>
      </c>
      <c r="AE41" s="240">
        <f t="shared" si="46"/>
        <v>13.2</v>
      </c>
      <c r="AF41" s="251">
        <f t="shared" si="47"/>
        <v>62.174999999999997</v>
      </c>
      <c r="AG41" s="242" t="s">
        <v>84</v>
      </c>
      <c r="AH41" s="242" t="s">
        <v>93</v>
      </c>
      <c r="AI41" s="242" t="s">
        <v>86</v>
      </c>
      <c r="AJ41" s="244">
        <v>89</v>
      </c>
      <c r="AK41" s="244">
        <v>89</v>
      </c>
      <c r="AL41" s="244">
        <v>88</v>
      </c>
      <c r="AM41" s="239">
        <f t="shared" si="48"/>
        <v>266</v>
      </c>
      <c r="AN41" s="251">
        <v>88.67</v>
      </c>
      <c r="AO41" s="251">
        <v>26.6</v>
      </c>
      <c r="AP41" s="251">
        <f t="shared" si="49"/>
        <v>976</v>
      </c>
      <c r="AQ41" s="251">
        <f t="shared" si="50"/>
        <v>88.775000000000006</v>
      </c>
      <c r="AR41" s="241" t="str">
        <f t="shared" si="51"/>
        <v>SATISFACTORIO</v>
      </c>
    </row>
    <row r="42" spans="1:44" ht="15" customHeight="1">
      <c r="A42" s="155">
        <v>31</v>
      </c>
      <c r="B42" s="263" t="s">
        <v>78</v>
      </c>
      <c r="C42" s="264" t="s">
        <v>79</v>
      </c>
      <c r="D42" s="264" t="s">
        <v>74</v>
      </c>
      <c r="E42" s="265">
        <v>1067814518</v>
      </c>
      <c r="F42" s="266" t="s">
        <v>208</v>
      </c>
      <c r="G42" s="252" t="s">
        <v>198</v>
      </c>
      <c r="H42" s="256"/>
      <c r="I42" s="264" t="s">
        <v>82</v>
      </c>
      <c r="J42" s="253" t="s">
        <v>88</v>
      </c>
      <c r="K42" s="249" t="s">
        <v>88</v>
      </c>
      <c r="L42" s="257">
        <v>40</v>
      </c>
      <c r="M42" s="257">
        <v>15</v>
      </c>
      <c r="N42" s="257">
        <v>15</v>
      </c>
      <c r="O42" s="257">
        <v>89</v>
      </c>
      <c r="P42" s="257">
        <v>88</v>
      </c>
      <c r="Q42" s="257">
        <v>90</v>
      </c>
      <c r="R42" s="257">
        <v>90</v>
      </c>
      <c r="S42" s="239">
        <f t="shared" si="38"/>
        <v>357</v>
      </c>
      <c r="T42" s="240">
        <f t="shared" si="39"/>
        <v>89.25</v>
      </c>
      <c r="U42" s="240">
        <f t="shared" si="40"/>
        <v>35.700000000000003</v>
      </c>
      <c r="V42" s="244">
        <v>89</v>
      </c>
      <c r="W42" s="244">
        <v>89</v>
      </c>
      <c r="X42" s="239">
        <f t="shared" si="41"/>
        <v>178</v>
      </c>
      <c r="Y42" s="240">
        <f t="shared" si="42"/>
        <v>89</v>
      </c>
      <c r="Z42" s="240">
        <f t="shared" si="43"/>
        <v>13.35</v>
      </c>
      <c r="AA42" s="244">
        <v>90</v>
      </c>
      <c r="AB42" s="244">
        <v>90</v>
      </c>
      <c r="AC42" s="239">
        <f t="shared" si="44"/>
        <v>180</v>
      </c>
      <c r="AD42" s="240">
        <f t="shared" si="45"/>
        <v>90</v>
      </c>
      <c r="AE42" s="240">
        <f t="shared" si="46"/>
        <v>13.5</v>
      </c>
      <c r="AF42" s="251">
        <f t="shared" si="47"/>
        <v>62.550000000000004</v>
      </c>
      <c r="AG42" s="244" t="s">
        <v>89</v>
      </c>
      <c r="AH42" s="242" t="s">
        <v>84</v>
      </c>
      <c r="AI42" s="242" t="s">
        <v>85</v>
      </c>
      <c r="AJ42" s="244">
        <v>89</v>
      </c>
      <c r="AK42" s="244">
        <v>90</v>
      </c>
      <c r="AL42" s="244">
        <v>90</v>
      </c>
      <c r="AM42" s="239">
        <f t="shared" si="48"/>
        <v>269</v>
      </c>
      <c r="AN42" s="251">
        <v>89.67</v>
      </c>
      <c r="AO42" s="251">
        <v>26.9</v>
      </c>
      <c r="AP42" s="251">
        <f t="shared" si="49"/>
        <v>984</v>
      </c>
      <c r="AQ42" s="251">
        <f t="shared" si="50"/>
        <v>89.45</v>
      </c>
      <c r="AR42" s="241" t="str">
        <f t="shared" si="51"/>
        <v>SATISFACTORIO</v>
      </c>
    </row>
    <row r="43" spans="1:44" ht="15" customHeight="1">
      <c r="A43" s="155">
        <v>32</v>
      </c>
      <c r="B43" s="196"/>
      <c r="C43" s="200"/>
      <c r="D43" s="200"/>
      <c r="E43" s="201"/>
      <c r="F43" s="201"/>
      <c r="G43" s="197"/>
      <c r="H43" s="198"/>
      <c r="I43" s="199"/>
      <c r="J43" s="207"/>
      <c r="K43" s="199"/>
      <c r="L43" s="200"/>
      <c r="M43" s="200"/>
      <c r="N43" s="200"/>
      <c r="O43" s="200"/>
      <c r="P43" s="200"/>
      <c r="Q43" s="200"/>
      <c r="R43" s="200"/>
      <c r="S43" s="142">
        <f t="shared" ref="S43:S52" si="52">SUM(O43:R43)</f>
        <v>0</v>
      </c>
      <c r="T43" s="143" t="b">
        <f t="shared" ref="T43:T52" si="53">IF(S43&gt;0,AVERAGE(O43:R43))</f>
        <v>0</v>
      </c>
      <c r="U43" s="143">
        <f t="shared" ref="U43:U52" si="54">(T43*L43)/100</f>
        <v>0</v>
      </c>
      <c r="V43" s="211"/>
      <c r="W43" s="211"/>
      <c r="X43" s="142">
        <f t="shared" si="8"/>
        <v>0</v>
      </c>
      <c r="Y43" s="143" t="b">
        <f t="shared" si="9"/>
        <v>0</v>
      </c>
      <c r="Z43" s="143">
        <f t="shared" si="4"/>
        <v>0</v>
      </c>
      <c r="AA43" s="211"/>
      <c r="AB43" s="211"/>
      <c r="AC43" s="142">
        <f t="shared" si="10"/>
        <v>0</v>
      </c>
      <c r="AD43" s="143" t="b">
        <f t="shared" si="11"/>
        <v>0</v>
      </c>
      <c r="AE43" s="143">
        <f t="shared" si="5"/>
        <v>0</v>
      </c>
      <c r="AF43" s="186">
        <f t="shared" si="12"/>
        <v>0</v>
      </c>
      <c r="AG43" s="211"/>
      <c r="AH43" s="211"/>
      <c r="AI43" s="211"/>
      <c r="AJ43" s="211"/>
      <c r="AK43" s="211"/>
      <c r="AL43" s="211"/>
      <c r="AM43" s="142">
        <f t="shared" si="13"/>
        <v>0</v>
      </c>
      <c r="AN43" s="186" t="b">
        <f t="shared" si="6"/>
        <v>0</v>
      </c>
      <c r="AO43" s="186">
        <f t="shared" si="14"/>
        <v>0</v>
      </c>
      <c r="AP43" s="186">
        <f t="shared" si="15"/>
        <v>0</v>
      </c>
      <c r="AQ43" s="186" t="b">
        <f t="shared" si="7"/>
        <v>0</v>
      </c>
      <c r="AR43" s="145" t="b">
        <f t="shared" si="16"/>
        <v>0</v>
      </c>
    </row>
    <row r="44" spans="1:44" ht="15" customHeight="1">
      <c r="A44" s="155">
        <v>33</v>
      </c>
      <c r="B44" s="196"/>
      <c r="C44" s="200"/>
      <c r="D44" s="200"/>
      <c r="E44" s="201"/>
      <c r="F44" s="201"/>
      <c r="G44" s="197"/>
      <c r="H44" s="198"/>
      <c r="I44" s="199"/>
      <c r="J44" s="207"/>
      <c r="K44" s="199"/>
      <c r="L44" s="200"/>
      <c r="M44" s="200"/>
      <c r="N44" s="200"/>
      <c r="O44" s="200"/>
      <c r="P44" s="200"/>
      <c r="Q44" s="200"/>
      <c r="R44" s="200"/>
      <c r="S44" s="142">
        <f t="shared" si="52"/>
        <v>0</v>
      </c>
      <c r="T44" s="143" t="b">
        <f t="shared" si="53"/>
        <v>0</v>
      </c>
      <c r="U44" s="143">
        <f t="shared" si="54"/>
        <v>0</v>
      </c>
      <c r="V44" s="211"/>
      <c r="W44" s="211"/>
      <c r="X44" s="142">
        <f t="shared" si="8"/>
        <v>0</v>
      </c>
      <c r="Y44" s="143" t="b">
        <f t="shared" si="9"/>
        <v>0</v>
      </c>
      <c r="Z44" s="143">
        <f t="shared" si="4"/>
        <v>0</v>
      </c>
      <c r="AA44" s="211"/>
      <c r="AB44" s="211"/>
      <c r="AC44" s="142">
        <f t="shared" si="10"/>
        <v>0</v>
      </c>
      <c r="AD44" s="143" t="b">
        <f t="shared" si="11"/>
        <v>0</v>
      </c>
      <c r="AE44" s="143">
        <f t="shared" si="5"/>
        <v>0</v>
      </c>
      <c r="AF44" s="186">
        <f t="shared" si="12"/>
        <v>0</v>
      </c>
      <c r="AG44" s="211"/>
      <c r="AH44" s="211"/>
      <c r="AI44" s="211"/>
      <c r="AJ44" s="211"/>
      <c r="AK44" s="211"/>
      <c r="AL44" s="211"/>
      <c r="AM44" s="142">
        <f t="shared" si="13"/>
        <v>0</v>
      </c>
      <c r="AN44" s="186" t="b">
        <f t="shared" si="6"/>
        <v>0</v>
      </c>
      <c r="AO44" s="186">
        <f t="shared" si="14"/>
        <v>0</v>
      </c>
      <c r="AP44" s="186">
        <f t="shared" si="15"/>
        <v>0</v>
      </c>
      <c r="AQ44" s="186" t="b">
        <f t="shared" ref="AQ44:AQ61" si="55">IF(AP44&gt;0,(AF44+AO44))</f>
        <v>0</v>
      </c>
      <c r="AR44" s="145" t="b">
        <f t="shared" si="16"/>
        <v>0</v>
      </c>
    </row>
    <row r="45" spans="1:44" ht="15" customHeight="1">
      <c r="A45" s="155">
        <v>34</v>
      </c>
      <c r="B45" s="196"/>
      <c r="C45" s="199"/>
      <c r="D45" s="200"/>
      <c r="E45" s="201"/>
      <c r="F45" s="201"/>
      <c r="G45" s="197"/>
      <c r="H45" s="198"/>
      <c r="I45" s="199"/>
      <c r="J45" s="207"/>
      <c r="K45" s="199"/>
      <c r="L45" s="200"/>
      <c r="M45" s="200"/>
      <c r="N45" s="200"/>
      <c r="O45" s="200"/>
      <c r="P45" s="200"/>
      <c r="Q45" s="200"/>
      <c r="R45" s="200"/>
      <c r="S45" s="142">
        <f t="shared" si="52"/>
        <v>0</v>
      </c>
      <c r="T45" s="143" t="b">
        <f t="shared" si="53"/>
        <v>0</v>
      </c>
      <c r="U45" s="143">
        <f t="shared" si="54"/>
        <v>0</v>
      </c>
      <c r="V45" s="211"/>
      <c r="W45" s="211"/>
      <c r="X45" s="142">
        <f t="shared" si="8"/>
        <v>0</v>
      </c>
      <c r="Y45" s="143" t="b">
        <f t="shared" si="9"/>
        <v>0</v>
      </c>
      <c r="Z45" s="143">
        <f t="shared" si="4"/>
        <v>0</v>
      </c>
      <c r="AA45" s="211"/>
      <c r="AB45" s="211"/>
      <c r="AC45" s="142">
        <f t="shared" si="10"/>
        <v>0</v>
      </c>
      <c r="AD45" s="143" t="b">
        <f t="shared" si="11"/>
        <v>0</v>
      </c>
      <c r="AE45" s="143">
        <f t="shared" si="5"/>
        <v>0</v>
      </c>
      <c r="AF45" s="186">
        <f t="shared" si="12"/>
        <v>0</v>
      </c>
      <c r="AG45" s="213"/>
      <c r="AH45" s="213"/>
      <c r="AI45" s="213"/>
      <c r="AJ45" s="211"/>
      <c r="AK45" s="211"/>
      <c r="AL45" s="211"/>
      <c r="AM45" s="142">
        <f t="shared" si="13"/>
        <v>0</v>
      </c>
      <c r="AN45" s="186" t="b">
        <f t="shared" si="6"/>
        <v>0</v>
      </c>
      <c r="AO45" s="186">
        <f t="shared" si="14"/>
        <v>0</v>
      </c>
      <c r="AP45" s="186">
        <f t="shared" si="15"/>
        <v>0</v>
      </c>
      <c r="AQ45" s="186" t="b">
        <f t="shared" si="55"/>
        <v>0</v>
      </c>
      <c r="AR45" s="145" t="b">
        <f t="shared" si="16"/>
        <v>0</v>
      </c>
    </row>
    <row r="46" spans="1:44" ht="15" customHeight="1">
      <c r="A46" s="155">
        <v>35</v>
      </c>
      <c r="B46" s="196"/>
      <c r="C46" s="199"/>
      <c r="D46" s="200"/>
      <c r="E46" s="201"/>
      <c r="F46" s="201"/>
      <c r="G46" s="197"/>
      <c r="H46" s="198"/>
      <c r="I46" s="199"/>
      <c r="J46" s="207"/>
      <c r="K46" s="199"/>
      <c r="L46" s="200"/>
      <c r="M46" s="200"/>
      <c r="N46" s="200"/>
      <c r="O46" s="200"/>
      <c r="P46" s="200"/>
      <c r="Q46" s="200"/>
      <c r="R46" s="200"/>
      <c r="S46" s="142">
        <f t="shared" si="52"/>
        <v>0</v>
      </c>
      <c r="T46" s="143" t="b">
        <f t="shared" si="53"/>
        <v>0</v>
      </c>
      <c r="U46" s="143">
        <f t="shared" si="54"/>
        <v>0</v>
      </c>
      <c r="V46" s="211"/>
      <c r="W46" s="211"/>
      <c r="X46" s="142">
        <f t="shared" si="8"/>
        <v>0</v>
      </c>
      <c r="Y46" s="143" t="b">
        <f t="shared" si="9"/>
        <v>0</v>
      </c>
      <c r="Z46" s="143">
        <f t="shared" si="4"/>
        <v>0</v>
      </c>
      <c r="AA46" s="211"/>
      <c r="AB46" s="211"/>
      <c r="AC46" s="142">
        <f t="shared" si="10"/>
        <v>0</v>
      </c>
      <c r="AD46" s="143" t="b">
        <f t="shared" si="11"/>
        <v>0</v>
      </c>
      <c r="AE46" s="143">
        <f t="shared" si="5"/>
        <v>0</v>
      </c>
      <c r="AF46" s="186">
        <f t="shared" si="12"/>
        <v>0</v>
      </c>
      <c r="AG46" s="213"/>
      <c r="AH46" s="213"/>
      <c r="AI46" s="213"/>
      <c r="AJ46" s="211"/>
      <c r="AK46" s="211"/>
      <c r="AL46" s="211"/>
      <c r="AM46" s="142">
        <f t="shared" si="13"/>
        <v>0</v>
      </c>
      <c r="AN46" s="186" t="b">
        <f t="shared" si="6"/>
        <v>0</v>
      </c>
      <c r="AO46" s="186">
        <f t="shared" si="14"/>
        <v>0</v>
      </c>
      <c r="AP46" s="186">
        <f t="shared" si="15"/>
        <v>0</v>
      </c>
      <c r="AQ46" s="186" t="b">
        <f t="shared" si="55"/>
        <v>0</v>
      </c>
      <c r="AR46" s="145" t="b">
        <f t="shared" si="16"/>
        <v>0</v>
      </c>
    </row>
    <row r="47" spans="1:44" ht="15" customHeight="1">
      <c r="A47" s="155">
        <v>36</v>
      </c>
      <c r="B47" s="196"/>
      <c r="C47" s="200"/>
      <c r="D47" s="200"/>
      <c r="E47" s="201"/>
      <c r="F47" s="201"/>
      <c r="G47" s="197"/>
      <c r="H47" s="198"/>
      <c r="I47" s="199"/>
      <c r="J47" s="207"/>
      <c r="K47" s="199"/>
      <c r="L47" s="200"/>
      <c r="M47" s="200"/>
      <c r="N47" s="200"/>
      <c r="O47" s="200"/>
      <c r="P47" s="200"/>
      <c r="Q47" s="200"/>
      <c r="R47" s="200"/>
      <c r="S47" s="142">
        <f t="shared" si="52"/>
        <v>0</v>
      </c>
      <c r="T47" s="143" t="b">
        <f t="shared" si="53"/>
        <v>0</v>
      </c>
      <c r="U47" s="143">
        <f t="shared" si="54"/>
        <v>0</v>
      </c>
      <c r="V47" s="211"/>
      <c r="W47" s="211"/>
      <c r="X47" s="142">
        <f t="shared" si="8"/>
        <v>0</v>
      </c>
      <c r="Y47" s="143" t="b">
        <f t="shared" si="9"/>
        <v>0</v>
      </c>
      <c r="Z47" s="143">
        <f t="shared" si="4"/>
        <v>0</v>
      </c>
      <c r="AA47" s="211"/>
      <c r="AB47" s="211"/>
      <c r="AC47" s="142">
        <f t="shared" si="10"/>
        <v>0</v>
      </c>
      <c r="AD47" s="143" t="b">
        <f t="shared" si="11"/>
        <v>0</v>
      </c>
      <c r="AE47" s="143">
        <f t="shared" si="5"/>
        <v>0</v>
      </c>
      <c r="AF47" s="186">
        <f t="shared" si="12"/>
        <v>0</v>
      </c>
      <c r="AG47" s="211"/>
      <c r="AH47" s="211"/>
      <c r="AI47" s="211"/>
      <c r="AJ47" s="211"/>
      <c r="AK47" s="211"/>
      <c r="AL47" s="211"/>
      <c r="AM47" s="142">
        <f t="shared" si="13"/>
        <v>0</v>
      </c>
      <c r="AN47" s="186" t="b">
        <f t="shared" si="6"/>
        <v>0</v>
      </c>
      <c r="AO47" s="186">
        <f t="shared" si="14"/>
        <v>0</v>
      </c>
      <c r="AP47" s="186">
        <f t="shared" si="15"/>
        <v>0</v>
      </c>
      <c r="AQ47" s="186" t="b">
        <f t="shared" si="55"/>
        <v>0</v>
      </c>
      <c r="AR47" s="145" t="b">
        <f t="shared" si="16"/>
        <v>0</v>
      </c>
    </row>
    <row r="48" spans="1:44" ht="15" customHeight="1">
      <c r="A48" s="155">
        <v>37</v>
      </c>
      <c r="B48" s="196"/>
      <c r="C48" s="199"/>
      <c r="D48" s="200"/>
      <c r="E48" s="201"/>
      <c r="F48" s="201"/>
      <c r="G48" s="197"/>
      <c r="H48" s="198"/>
      <c r="I48" s="199"/>
      <c r="J48" s="207"/>
      <c r="K48" s="199"/>
      <c r="L48" s="200"/>
      <c r="M48" s="200"/>
      <c r="N48" s="200"/>
      <c r="O48" s="200"/>
      <c r="P48" s="200"/>
      <c r="Q48" s="200"/>
      <c r="R48" s="200"/>
      <c r="S48" s="142">
        <f t="shared" si="52"/>
        <v>0</v>
      </c>
      <c r="T48" s="143" t="b">
        <f t="shared" si="53"/>
        <v>0</v>
      </c>
      <c r="U48" s="143">
        <f t="shared" si="54"/>
        <v>0</v>
      </c>
      <c r="V48" s="211"/>
      <c r="W48" s="211"/>
      <c r="X48" s="142">
        <f t="shared" si="8"/>
        <v>0</v>
      </c>
      <c r="Y48" s="143" t="b">
        <f t="shared" si="9"/>
        <v>0</v>
      </c>
      <c r="Z48" s="143">
        <f t="shared" si="4"/>
        <v>0</v>
      </c>
      <c r="AA48" s="211"/>
      <c r="AB48" s="211"/>
      <c r="AC48" s="142">
        <f t="shared" si="10"/>
        <v>0</v>
      </c>
      <c r="AD48" s="143" t="b">
        <f t="shared" si="11"/>
        <v>0</v>
      </c>
      <c r="AE48" s="143">
        <f t="shared" si="5"/>
        <v>0</v>
      </c>
      <c r="AF48" s="186">
        <f t="shared" si="12"/>
        <v>0</v>
      </c>
      <c r="AG48" s="213"/>
      <c r="AH48" s="213"/>
      <c r="AI48" s="213"/>
      <c r="AJ48" s="211"/>
      <c r="AK48" s="211"/>
      <c r="AL48" s="211"/>
      <c r="AM48" s="142">
        <f t="shared" si="13"/>
        <v>0</v>
      </c>
      <c r="AN48" s="186" t="b">
        <f t="shared" si="6"/>
        <v>0</v>
      </c>
      <c r="AO48" s="186">
        <f t="shared" si="14"/>
        <v>0</v>
      </c>
      <c r="AP48" s="186">
        <f t="shared" si="15"/>
        <v>0</v>
      </c>
      <c r="AQ48" s="186" t="b">
        <f t="shared" si="55"/>
        <v>0</v>
      </c>
      <c r="AR48" s="145" t="b">
        <f t="shared" si="16"/>
        <v>0</v>
      </c>
    </row>
    <row r="49" spans="1:44" ht="15" customHeight="1">
      <c r="A49" s="155">
        <v>38</v>
      </c>
      <c r="B49" s="196"/>
      <c r="C49" s="199"/>
      <c r="D49" s="200"/>
      <c r="E49" s="201"/>
      <c r="F49" s="201"/>
      <c r="G49" s="197"/>
      <c r="H49" s="198"/>
      <c r="I49" s="199"/>
      <c r="J49" s="207"/>
      <c r="K49" s="199"/>
      <c r="L49" s="200"/>
      <c r="M49" s="200"/>
      <c r="N49" s="200"/>
      <c r="O49" s="200"/>
      <c r="P49" s="200"/>
      <c r="Q49" s="200"/>
      <c r="R49" s="200"/>
      <c r="S49" s="142">
        <f t="shared" si="52"/>
        <v>0</v>
      </c>
      <c r="T49" s="143" t="b">
        <f t="shared" si="53"/>
        <v>0</v>
      </c>
      <c r="U49" s="143">
        <f t="shared" si="54"/>
        <v>0</v>
      </c>
      <c r="V49" s="211"/>
      <c r="W49" s="211"/>
      <c r="X49" s="142">
        <f t="shared" si="8"/>
        <v>0</v>
      </c>
      <c r="Y49" s="143" t="b">
        <f t="shared" si="9"/>
        <v>0</v>
      </c>
      <c r="Z49" s="143">
        <f t="shared" si="4"/>
        <v>0</v>
      </c>
      <c r="AA49" s="211"/>
      <c r="AB49" s="211"/>
      <c r="AC49" s="142">
        <f t="shared" si="10"/>
        <v>0</v>
      </c>
      <c r="AD49" s="143" t="b">
        <f t="shared" si="11"/>
        <v>0</v>
      </c>
      <c r="AE49" s="143">
        <f t="shared" si="5"/>
        <v>0</v>
      </c>
      <c r="AF49" s="186">
        <f t="shared" si="12"/>
        <v>0</v>
      </c>
      <c r="AG49" s="213"/>
      <c r="AH49" s="213"/>
      <c r="AI49" s="213"/>
      <c r="AJ49" s="211"/>
      <c r="AK49" s="211"/>
      <c r="AL49" s="211"/>
      <c r="AM49" s="142">
        <f t="shared" si="13"/>
        <v>0</v>
      </c>
      <c r="AN49" s="186" t="b">
        <f t="shared" si="6"/>
        <v>0</v>
      </c>
      <c r="AO49" s="186">
        <f t="shared" si="14"/>
        <v>0</v>
      </c>
      <c r="AP49" s="186">
        <f t="shared" si="15"/>
        <v>0</v>
      </c>
      <c r="AQ49" s="186" t="b">
        <f t="shared" si="55"/>
        <v>0</v>
      </c>
      <c r="AR49" s="145" t="b">
        <f t="shared" si="16"/>
        <v>0</v>
      </c>
    </row>
    <row r="50" spans="1:44" ht="15" customHeight="1">
      <c r="A50" s="155">
        <v>39</v>
      </c>
      <c r="B50" s="196"/>
      <c r="C50" s="199"/>
      <c r="D50" s="200"/>
      <c r="E50" s="201"/>
      <c r="F50" s="201"/>
      <c r="G50" s="197"/>
      <c r="H50" s="198"/>
      <c r="I50" s="199"/>
      <c r="J50" s="207"/>
      <c r="K50" s="199"/>
      <c r="L50" s="200"/>
      <c r="M50" s="200"/>
      <c r="N50" s="200"/>
      <c r="O50" s="200"/>
      <c r="P50" s="200"/>
      <c r="Q50" s="200"/>
      <c r="R50" s="200"/>
      <c r="S50" s="142">
        <f t="shared" si="52"/>
        <v>0</v>
      </c>
      <c r="T50" s="143" t="b">
        <f t="shared" si="53"/>
        <v>0</v>
      </c>
      <c r="U50" s="143">
        <f t="shared" si="54"/>
        <v>0</v>
      </c>
      <c r="V50" s="211"/>
      <c r="W50" s="211"/>
      <c r="X50" s="142">
        <f t="shared" si="8"/>
        <v>0</v>
      </c>
      <c r="Y50" s="143" t="b">
        <f t="shared" si="9"/>
        <v>0</v>
      </c>
      <c r="Z50" s="143">
        <f t="shared" si="4"/>
        <v>0</v>
      </c>
      <c r="AA50" s="211"/>
      <c r="AB50" s="211"/>
      <c r="AC50" s="142">
        <f t="shared" si="10"/>
        <v>0</v>
      </c>
      <c r="AD50" s="143" t="b">
        <f t="shared" si="11"/>
        <v>0</v>
      </c>
      <c r="AE50" s="143">
        <f t="shared" si="5"/>
        <v>0</v>
      </c>
      <c r="AF50" s="186">
        <f t="shared" si="12"/>
        <v>0</v>
      </c>
      <c r="AG50" s="213"/>
      <c r="AH50" s="213"/>
      <c r="AI50" s="213"/>
      <c r="AJ50" s="211"/>
      <c r="AK50" s="211"/>
      <c r="AL50" s="211"/>
      <c r="AM50" s="142">
        <f t="shared" si="13"/>
        <v>0</v>
      </c>
      <c r="AN50" s="186" t="b">
        <f t="shared" si="6"/>
        <v>0</v>
      </c>
      <c r="AO50" s="186">
        <f t="shared" si="14"/>
        <v>0</v>
      </c>
      <c r="AP50" s="186">
        <f t="shared" si="15"/>
        <v>0</v>
      </c>
      <c r="AQ50" s="186" t="b">
        <f t="shared" si="55"/>
        <v>0</v>
      </c>
      <c r="AR50" s="145" t="b">
        <f t="shared" si="16"/>
        <v>0</v>
      </c>
    </row>
    <row r="51" spans="1:44" ht="15" customHeight="1">
      <c r="A51" s="155">
        <v>40</v>
      </c>
      <c r="B51" s="196"/>
      <c r="C51" s="202"/>
      <c r="D51" s="200"/>
      <c r="E51" s="201"/>
      <c r="F51" s="201"/>
      <c r="G51" s="203"/>
      <c r="H51" s="198"/>
      <c r="I51" s="208"/>
      <c r="J51" s="207"/>
      <c r="K51" s="199"/>
      <c r="L51" s="200"/>
      <c r="M51" s="200"/>
      <c r="N51" s="200"/>
      <c r="O51" s="200"/>
      <c r="P51" s="200"/>
      <c r="Q51" s="200"/>
      <c r="R51" s="200"/>
      <c r="S51" s="142">
        <f t="shared" si="52"/>
        <v>0</v>
      </c>
      <c r="T51" s="143" t="b">
        <f t="shared" si="53"/>
        <v>0</v>
      </c>
      <c r="U51" s="143">
        <f t="shared" si="54"/>
        <v>0</v>
      </c>
      <c r="V51" s="211"/>
      <c r="W51" s="211"/>
      <c r="X51" s="142">
        <f t="shared" si="8"/>
        <v>0</v>
      </c>
      <c r="Y51" s="143" t="b">
        <f t="shared" si="9"/>
        <v>0</v>
      </c>
      <c r="Z51" s="143">
        <f t="shared" si="4"/>
        <v>0</v>
      </c>
      <c r="AA51" s="211"/>
      <c r="AB51" s="211"/>
      <c r="AC51" s="142">
        <f t="shared" si="10"/>
        <v>0</v>
      </c>
      <c r="AD51" s="143" t="b">
        <f t="shared" si="11"/>
        <v>0</v>
      </c>
      <c r="AE51" s="143">
        <f t="shared" si="5"/>
        <v>0</v>
      </c>
      <c r="AF51" s="186">
        <f t="shared" si="12"/>
        <v>0</v>
      </c>
      <c r="AG51" s="211"/>
      <c r="AH51" s="211"/>
      <c r="AI51" s="211"/>
      <c r="AJ51" s="211"/>
      <c r="AK51" s="211"/>
      <c r="AL51" s="211"/>
      <c r="AM51" s="142">
        <f t="shared" si="13"/>
        <v>0</v>
      </c>
      <c r="AN51" s="186" t="b">
        <f t="shared" si="6"/>
        <v>0</v>
      </c>
      <c r="AO51" s="186">
        <f t="shared" si="14"/>
        <v>0</v>
      </c>
      <c r="AP51" s="186">
        <f t="shared" si="15"/>
        <v>0</v>
      </c>
      <c r="AQ51" s="186" t="b">
        <f t="shared" si="55"/>
        <v>0</v>
      </c>
      <c r="AR51" s="145" t="b">
        <f t="shared" si="16"/>
        <v>0</v>
      </c>
    </row>
    <row r="52" spans="1:44" ht="15" customHeight="1">
      <c r="A52" s="155">
        <v>41</v>
      </c>
      <c r="B52" s="196"/>
      <c r="C52" s="199"/>
      <c r="D52" s="200"/>
      <c r="E52" s="201"/>
      <c r="F52" s="201"/>
      <c r="G52" s="197"/>
      <c r="H52" s="198"/>
      <c r="I52" s="199"/>
      <c r="J52" s="209"/>
      <c r="K52" s="199"/>
      <c r="L52" s="200"/>
      <c r="M52" s="200"/>
      <c r="N52" s="200"/>
      <c r="O52" s="200"/>
      <c r="P52" s="200"/>
      <c r="Q52" s="200"/>
      <c r="R52" s="200"/>
      <c r="S52" s="142">
        <f t="shared" si="52"/>
        <v>0</v>
      </c>
      <c r="T52" s="143" t="b">
        <f t="shared" si="53"/>
        <v>0</v>
      </c>
      <c r="U52" s="143">
        <f t="shared" si="54"/>
        <v>0</v>
      </c>
      <c r="V52" s="211"/>
      <c r="W52" s="211"/>
      <c r="X52" s="142">
        <f t="shared" si="8"/>
        <v>0</v>
      </c>
      <c r="Y52" s="143" t="b">
        <f t="shared" si="9"/>
        <v>0</v>
      </c>
      <c r="Z52" s="143">
        <f t="shared" si="4"/>
        <v>0</v>
      </c>
      <c r="AA52" s="211"/>
      <c r="AB52" s="211"/>
      <c r="AC52" s="142">
        <f t="shared" si="10"/>
        <v>0</v>
      </c>
      <c r="AD52" s="143" t="b">
        <f t="shared" si="11"/>
        <v>0</v>
      </c>
      <c r="AE52" s="143">
        <f t="shared" si="5"/>
        <v>0</v>
      </c>
      <c r="AF52" s="186">
        <f t="shared" si="12"/>
        <v>0</v>
      </c>
      <c r="AG52" s="211"/>
      <c r="AH52" s="213"/>
      <c r="AI52" s="213"/>
      <c r="AJ52" s="211"/>
      <c r="AK52" s="211"/>
      <c r="AL52" s="211"/>
      <c r="AM52" s="142">
        <f t="shared" si="13"/>
        <v>0</v>
      </c>
      <c r="AN52" s="186" t="b">
        <f t="shared" si="6"/>
        <v>0</v>
      </c>
      <c r="AO52" s="186">
        <f t="shared" si="14"/>
        <v>0</v>
      </c>
      <c r="AP52" s="186">
        <f t="shared" si="15"/>
        <v>0</v>
      </c>
      <c r="AQ52" s="186" t="b">
        <f t="shared" si="55"/>
        <v>0</v>
      </c>
      <c r="AR52" s="145" t="b">
        <f t="shared" si="16"/>
        <v>0</v>
      </c>
    </row>
    <row r="53" spans="1:44" ht="15" customHeight="1">
      <c r="A53" s="155">
        <v>42</v>
      </c>
      <c r="B53" s="196"/>
      <c r="C53" s="199"/>
      <c r="D53" s="199"/>
      <c r="E53" s="201"/>
      <c r="F53" s="201"/>
      <c r="G53" s="197"/>
      <c r="H53" s="198"/>
      <c r="I53" s="199"/>
      <c r="J53" s="209"/>
      <c r="K53" s="199"/>
      <c r="L53" s="200"/>
      <c r="M53" s="200"/>
      <c r="N53" s="200"/>
      <c r="O53" s="200"/>
      <c r="P53" s="200"/>
      <c r="Q53" s="200"/>
      <c r="R53" s="200"/>
      <c r="S53" s="142">
        <f t="shared" ref="S53:S61" si="56">SUM(O53:R53)</f>
        <v>0</v>
      </c>
      <c r="T53" s="143" t="b">
        <f t="shared" ref="T53:T61" si="57">IF(S53&gt;0,AVERAGE(O53:R53))</f>
        <v>0</v>
      </c>
      <c r="U53" s="143">
        <f t="shared" ref="U53:U62" si="58">(T53*L53)/100</f>
        <v>0</v>
      </c>
      <c r="V53" s="211"/>
      <c r="W53" s="211"/>
      <c r="X53" s="142">
        <f t="shared" si="8"/>
        <v>0</v>
      </c>
      <c r="Y53" s="143" t="b">
        <f t="shared" si="9"/>
        <v>0</v>
      </c>
      <c r="Z53" s="143">
        <f t="shared" ref="Z53:Z62" si="59">(Y53*M53)/100</f>
        <v>0</v>
      </c>
      <c r="AA53" s="211"/>
      <c r="AB53" s="211"/>
      <c r="AC53" s="142">
        <f t="shared" si="10"/>
        <v>0</v>
      </c>
      <c r="AD53" s="143" t="b">
        <f t="shared" si="11"/>
        <v>0</v>
      </c>
      <c r="AE53" s="143">
        <f t="shared" ref="AE53:AE62" si="60">(AD53*N53)/100</f>
        <v>0</v>
      </c>
      <c r="AF53" s="186">
        <f t="shared" si="12"/>
        <v>0</v>
      </c>
      <c r="AG53" s="213"/>
      <c r="AH53" s="213"/>
      <c r="AI53" s="213"/>
      <c r="AJ53" s="211"/>
      <c r="AK53" s="211"/>
      <c r="AL53" s="211"/>
      <c r="AM53" s="142">
        <f t="shared" si="13"/>
        <v>0</v>
      </c>
      <c r="AN53" s="186" t="b">
        <f t="shared" si="6"/>
        <v>0</v>
      </c>
      <c r="AO53" s="186">
        <f t="shared" si="14"/>
        <v>0</v>
      </c>
      <c r="AP53" s="186">
        <f t="shared" si="15"/>
        <v>0</v>
      </c>
      <c r="AQ53" s="186" t="b">
        <f t="shared" si="55"/>
        <v>0</v>
      </c>
      <c r="AR53" s="145" t="b">
        <f t="shared" si="16"/>
        <v>0</v>
      </c>
    </row>
    <row r="54" spans="1:44" ht="15" customHeight="1">
      <c r="A54" s="155">
        <v>43</v>
      </c>
      <c r="B54" s="196"/>
      <c r="C54" s="199"/>
      <c r="D54" s="199"/>
      <c r="E54" s="201"/>
      <c r="F54" s="201"/>
      <c r="G54" s="197"/>
      <c r="H54" s="198"/>
      <c r="I54" s="199"/>
      <c r="J54" s="210"/>
      <c r="K54" s="199"/>
      <c r="L54" s="200"/>
      <c r="M54" s="200"/>
      <c r="N54" s="200"/>
      <c r="O54" s="200"/>
      <c r="P54" s="200"/>
      <c r="Q54" s="200"/>
      <c r="R54" s="200"/>
      <c r="S54" s="142">
        <f t="shared" si="56"/>
        <v>0</v>
      </c>
      <c r="T54" s="143" t="b">
        <f t="shared" si="57"/>
        <v>0</v>
      </c>
      <c r="U54" s="143">
        <f t="shared" si="58"/>
        <v>0</v>
      </c>
      <c r="V54" s="211"/>
      <c r="W54" s="211"/>
      <c r="X54" s="142">
        <f t="shared" si="8"/>
        <v>0</v>
      </c>
      <c r="Y54" s="143" t="b">
        <f t="shared" si="9"/>
        <v>0</v>
      </c>
      <c r="Z54" s="143">
        <f t="shared" si="59"/>
        <v>0</v>
      </c>
      <c r="AA54" s="211"/>
      <c r="AB54" s="211"/>
      <c r="AC54" s="142">
        <f t="shared" si="10"/>
        <v>0</v>
      </c>
      <c r="AD54" s="143" t="b">
        <f t="shared" si="11"/>
        <v>0</v>
      </c>
      <c r="AE54" s="143">
        <f t="shared" si="60"/>
        <v>0</v>
      </c>
      <c r="AF54" s="186">
        <f t="shared" si="12"/>
        <v>0</v>
      </c>
      <c r="AG54" s="213"/>
      <c r="AH54" s="213"/>
      <c r="AI54" s="213"/>
      <c r="AJ54" s="211"/>
      <c r="AK54" s="211"/>
      <c r="AL54" s="211"/>
      <c r="AM54" s="142">
        <f t="shared" si="13"/>
        <v>0</v>
      </c>
      <c r="AN54" s="186" t="b">
        <f t="shared" si="6"/>
        <v>0</v>
      </c>
      <c r="AO54" s="186">
        <f t="shared" si="14"/>
        <v>0</v>
      </c>
      <c r="AP54" s="186">
        <f t="shared" si="15"/>
        <v>0</v>
      </c>
      <c r="AQ54" s="186" t="b">
        <f t="shared" si="55"/>
        <v>0</v>
      </c>
      <c r="AR54" s="145" t="b">
        <f t="shared" si="16"/>
        <v>0</v>
      </c>
    </row>
    <row r="55" spans="1:44" ht="15" customHeight="1">
      <c r="A55" s="155">
        <v>44</v>
      </c>
      <c r="B55" s="196"/>
      <c r="C55" s="199"/>
      <c r="D55" s="199"/>
      <c r="E55" s="201"/>
      <c r="F55" s="201"/>
      <c r="G55" s="197"/>
      <c r="H55" s="198"/>
      <c r="I55" s="199"/>
      <c r="J55" s="209"/>
      <c r="K55" s="199"/>
      <c r="L55" s="200"/>
      <c r="M55" s="200"/>
      <c r="N55" s="200"/>
      <c r="O55" s="200"/>
      <c r="P55" s="200"/>
      <c r="Q55" s="200"/>
      <c r="R55" s="200"/>
      <c r="S55" s="142">
        <f t="shared" si="56"/>
        <v>0</v>
      </c>
      <c r="T55" s="143" t="b">
        <f t="shared" si="57"/>
        <v>0</v>
      </c>
      <c r="U55" s="143">
        <f t="shared" si="58"/>
        <v>0</v>
      </c>
      <c r="V55" s="211"/>
      <c r="W55" s="211"/>
      <c r="X55" s="142">
        <f t="shared" si="8"/>
        <v>0</v>
      </c>
      <c r="Y55" s="143" t="b">
        <f t="shared" si="9"/>
        <v>0</v>
      </c>
      <c r="Z55" s="143">
        <f t="shared" si="59"/>
        <v>0</v>
      </c>
      <c r="AA55" s="211"/>
      <c r="AB55" s="211"/>
      <c r="AC55" s="142">
        <f t="shared" si="10"/>
        <v>0</v>
      </c>
      <c r="AD55" s="143" t="b">
        <f t="shared" si="11"/>
        <v>0</v>
      </c>
      <c r="AE55" s="143">
        <f t="shared" si="60"/>
        <v>0</v>
      </c>
      <c r="AF55" s="186">
        <f t="shared" si="12"/>
        <v>0</v>
      </c>
      <c r="AG55" s="213"/>
      <c r="AH55" s="213"/>
      <c r="AI55" s="213"/>
      <c r="AJ55" s="211"/>
      <c r="AK55" s="211"/>
      <c r="AL55" s="211"/>
      <c r="AM55" s="142">
        <f t="shared" si="13"/>
        <v>0</v>
      </c>
      <c r="AN55" s="186" t="b">
        <f t="shared" si="6"/>
        <v>0</v>
      </c>
      <c r="AO55" s="186">
        <f t="shared" si="14"/>
        <v>0</v>
      </c>
      <c r="AP55" s="186">
        <f t="shared" si="15"/>
        <v>0</v>
      </c>
      <c r="AQ55" s="186" t="b">
        <f t="shared" si="55"/>
        <v>0</v>
      </c>
      <c r="AR55" s="145" t="b">
        <f t="shared" si="16"/>
        <v>0</v>
      </c>
    </row>
    <row r="56" spans="1:44" ht="15" customHeight="1">
      <c r="A56" s="155">
        <v>45</v>
      </c>
      <c r="B56" s="196"/>
      <c r="C56" s="199"/>
      <c r="D56" s="200"/>
      <c r="E56" s="201"/>
      <c r="F56" s="201"/>
      <c r="G56" s="197"/>
      <c r="H56" s="198"/>
      <c r="I56" s="199"/>
      <c r="J56" s="209"/>
      <c r="K56" s="199"/>
      <c r="L56" s="200"/>
      <c r="M56" s="200"/>
      <c r="N56" s="200"/>
      <c r="O56" s="200"/>
      <c r="P56" s="200"/>
      <c r="Q56" s="200"/>
      <c r="R56" s="200"/>
      <c r="S56" s="142">
        <f t="shared" si="56"/>
        <v>0</v>
      </c>
      <c r="T56" s="143" t="b">
        <f t="shared" si="57"/>
        <v>0</v>
      </c>
      <c r="U56" s="143">
        <f t="shared" si="58"/>
        <v>0</v>
      </c>
      <c r="V56" s="211"/>
      <c r="W56" s="211"/>
      <c r="X56" s="142">
        <f t="shared" si="8"/>
        <v>0</v>
      </c>
      <c r="Y56" s="143" t="b">
        <f t="shared" si="9"/>
        <v>0</v>
      </c>
      <c r="Z56" s="143">
        <f t="shared" si="59"/>
        <v>0</v>
      </c>
      <c r="AA56" s="211"/>
      <c r="AB56" s="211"/>
      <c r="AC56" s="142">
        <f t="shared" si="10"/>
        <v>0</v>
      </c>
      <c r="AD56" s="143" t="b">
        <f t="shared" si="11"/>
        <v>0</v>
      </c>
      <c r="AE56" s="143">
        <f t="shared" si="60"/>
        <v>0</v>
      </c>
      <c r="AF56" s="186">
        <f t="shared" si="12"/>
        <v>0</v>
      </c>
      <c r="AG56" s="213"/>
      <c r="AH56" s="213"/>
      <c r="AI56" s="213"/>
      <c r="AJ56" s="211"/>
      <c r="AK56" s="211"/>
      <c r="AL56" s="211"/>
      <c r="AM56" s="142">
        <f t="shared" si="13"/>
        <v>0</v>
      </c>
      <c r="AN56" s="186" t="b">
        <f t="shared" si="6"/>
        <v>0</v>
      </c>
      <c r="AO56" s="186">
        <f t="shared" si="14"/>
        <v>0</v>
      </c>
      <c r="AP56" s="186">
        <f t="shared" si="15"/>
        <v>0</v>
      </c>
      <c r="AQ56" s="186" t="b">
        <f t="shared" si="55"/>
        <v>0</v>
      </c>
      <c r="AR56" s="145" t="b">
        <f t="shared" si="16"/>
        <v>0</v>
      </c>
    </row>
    <row r="57" spans="1:44" ht="15" customHeight="1">
      <c r="A57" s="155">
        <v>46</v>
      </c>
      <c r="B57" s="196"/>
      <c r="C57" s="199"/>
      <c r="D57" s="200"/>
      <c r="E57" s="201"/>
      <c r="F57" s="201"/>
      <c r="G57" s="197"/>
      <c r="H57" s="198"/>
      <c r="I57" s="199"/>
      <c r="J57" s="209"/>
      <c r="K57" s="199"/>
      <c r="L57" s="200"/>
      <c r="M57" s="200"/>
      <c r="N57" s="200"/>
      <c r="O57" s="200"/>
      <c r="P57" s="200"/>
      <c r="Q57" s="200"/>
      <c r="R57" s="200"/>
      <c r="S57" s="142">
        <f t="shared" si="56"/>
        <v>0</v>
      </c>
      <c r="T57" s="143" t="b">
        <f t="shared" si="57"/>
        <v>0</v>
      </c>
      <c r="U57" s="143">
        <f t="shared" si="58"/>
        <v>0</v>
      </c>
      <c r="V57" s="211"/>
      <c r="W57" s="211"/>
      <c r="X57" s="142">
        <f t="shared" si="8"/>
        <v>0</v>
      </c>
      <c r="Y57" s="143" t="b">
        <f t="shared" si="9"/>
        <v>0</v>
      </c>
      <c r="Z57" s="143">
        <f t="shared" si="59"/>
        <v>0</v>
      </c>
      <c r="AA57" s="211"/>
      <c r="AB57" s="211"/>
      <c r="AC57" s="142">
        <f t="shared" si="10"/>
        <v>0</v>
      </c>
      <c r="AD57" s="143" t="b">
        <f t="shared" si="11"/>
        <v>0</v>
      </c>
      <c r="AE57" s="143">
        <f t="shared" si="60"/>
        <v>0</v>
      </c>
      <c r="AF57" s="186">
        <f t="shared" si="12"/>
        <v>0</v>
      </c>
      <c r="AG57" s="213"/>
      <c r="AH57" s="213"/>
      <c r="AI57" s="213"/>
      <c r="AJ57" s="211"/>
      <c r="AK57" s="211"/>
      <c r="AL57" s="211"/>
      <c r="AM57" s="142">
        <f t="shared" si="13"/>
        <v>0</v>
      </c>
      <c r="AN57" s="186" t="b">
        <f t="shared" si="6"/>
        <v>0</v>
      </c>
      <c r="AO57" s="186">
        <f t="shared" si="14"/>
        <v>0</v>
      </c>
      <c r="AP57" s="186">
        <f t="shared" si="15"/>
        <v>0</v>
      </c>
      <c r="AQ57" s="186" t="b">
        <f t="shared" si="55"/>
        <v>0</v>
      </c>
      <c r="AR57" s="145" t="b">
        <f t="shared" si="16"/>
        <v>0</v>
      </c>
    </row>
    <row r="58" spans="1:44" ht="15" customHeight="1">
      <c r="A58" s="155">
        <v>47</v>
      </c>
      <c r="B58" s="196"/>
      <c r="C58" s="199"/>
      <c r="D58" s="200"/>
      <c r="E58" s="201"/>
      <c r="F58" s="201"/>
      <c r="G58" s="197"/>
      <c r="H58" s="198"/>
      <c r="I58" s="199"/>
      <c r="J58" s="209"/>
      <c r="K58" s="199"/>
      <c r="L58" s="200"/>
      <c r="M58" s="200"/>
      <c r="N58" s="200"/>
      <c r="O58" s="200"/>
      <c r="P58" s="200"/>
      <c r="Q58" s="200"/>
      <c r="R58" s="200"/>
      <c r="S58" s="142">
        <f t="shared" si="56"/>
        <v>0</v>
      </c>
      <c r="T58" s="143" t="b">
        <f t="shared" si="57"/>
        <v>0</v>
      </c>
      <c r="U58" s="143">
        <f t="shared" si="58"/>
        <v>0</v>
      </c>
      <c r="V58" s="211"/>
      <c r="W58" s="211"/>
      <c r="X58" s="142">
        <f t="shared" si="8"/>
        <v>0</v>
      </c>
      <c r="Y58" s="143" t="b">
        <f t="shared" si="9"/>
        <v>0</v>
      </c>
      <c r="Z58" s="143">
        <f t="shared" si="59"/>
        <v>0</v>
      </c>
      <c r="AA58" s="211"/>
      <c r="AB58" s="211"/>
      <c r="AC58" s="142">
        <f t="shared" si="10"/>
        <v>0</v>
      </c>
      <c r="AD58" s="143" t="b">
        <f t="shared" si="11"/>
        <v>0</v>
      </c>
      <c r="AE58" s="143">
        <f t="shared" si="60"/>
        <v>0</v>
      </c>
      <c r="AF58" s="186">
        <f t="shared" si="12"/>
        <v>0</v>
      </c>
      <c r="AG58" s="213"/>
      <c r="AH58" s="213"/>
      <c r="AI58" s="213"/>
      <c r="AJ58" s="211"/>
      <c r="AK58" s="211"/>
      <c r="AL58" s="211"/>
      <c r="AM58" s="142">
        <f t="shared" si="13"/>
        <v>0</v>
      </c>
      <c r="AN58" s="186" t="b">
        <f t="shared" si="6"/>
        <v>0</v>
      </c>
      <c r="AO58" s="186">
        <f t="shared" si="14"/>
        <v>0</v>
      </c>
      <c r="AP58" s="186">
        <f t="shared" si="15"/>
        <v>0</v>
      </c>
      <c r="AQ58" s="186" t="b">
        <f t="shared" si="55"/>
        <v>0</v>
      </c>
      <c r="AR58" s="145" t="b">
        <f t="shared" si="16"/>
        <v>0</v>
      </c>
    </row>
    <row r="59" spans="1:44" ht="15" customHeight="1">
      <c r="A59" s="155">
        <v>48</v>
      </c>
      <c r="B59" s="196"/>
      <c r="C59" s="199"/>
      <c r="D59" s="200"/>
      <c r="E59" s="201"/>
      <c r="F59" s="201"/>
      <c r="G59" s="197"/>
      <c r="H59" s="198"/>
      <c r="I59" s="199"/>
      <c r="J59" s="209"/>
      <c r="K59" s="199"/>
      <c r="L59" s="200"/>
      <c r="M59" s="200"/>
      <c r="N59" s="200"/>
      <c r="O59" s="200"/>
      <c r="P59" s="200"/>
      <c r="Q59" s="200"/>
      <c r="R59" s="200"/>
      <c r="S59" s="142">
        <f t="shared" si="56"/>
        <v>0</v>
      </c>
      <c r="T59" s="143" t="b">
        <f t="shared" si="57"/>
        <v>0</v>
      </c>
      <c r="U59" s="143">
        <f t="shared" si="58"/>
        <v>0</v>
      </c>
      <c r="V59" s="211"/>
      <c r="W59" s="211"/>
      <c r="X59" s="142">
        <f t="shared" si="8"/>
        <v>0</v>
      </c>
      <c r="Y59" s="143" t="b">
        <f t="shared" si="9"/>
        <v>0</v>
      </c>
      <c r="Z59" s="143">
        <f t="shared" si="59"/>
        <v>0</v>
      </c>
      <c r="AA59" s="211"/>
      <c r="AB59" s="211"/>
      <c r="AC59" s="142">
        <f t="shared" si="10"/>
        <v>0</v>
      </c>
      <c r="AD59" s="143" t="b">
        <f t="shared" si="11"/>
        <v>0</v>
      </c>
      <c r="AE59" s="143">
        <f t="shared" si="60"/>
        <v>0</v>
      </c>
      <c r="AF59" s="186">
        <f t="shared" si="12"/>
        <v>0</v>
      </c>
      <c r="AG59" s="213"/>
      <c r="AH59" s="213"/>
      <c r="AI59" s="213"/>
      <c r="AJ59" s="211"/>
      <c r="AK59" s="211"/>
      <c r="AL59" s="211"/>
      <c r="AM59" s="142">
        <f t="shared" si="13"/>
        <v>0</v>
      </c>
      <c r="AN59" s="186" t="b">
        <f t="shared" si="6"/>
        <v>0</v>
      </c>
      <c r="AO59" s="186">
        <f t="shared" si="14"/>
        <v>0</v>
      </c>
      <c r="AP59" s="186">
        <f t="shared" si="15"/>
        <v>0</v>
      </c>
      <c r="AQ59" s="186" t="b">
        <f t="shared" si="55"/>
        <v>0</v>
      </c>
      <c r="AR59" s="145" t="b">
        <f t="shared" si="16"/>
        <v>0</v>
      </c>
    </row>
    <row r="60" spans="1:44" ht="15" customHeight="1">
      <c r="A60" s="155">
        <v>49</v>
      </c>
      <c r="B60" s="196"/>
      <c r="C60" s="199"/>
      <c r="D60" s="200"/>
      <c r="E60" s="201"/>
      <c r="F60" s="201"/>
      <c r="G60" s="197"/>
      <c r="H60" s="198"/>
      <c r="I60" s="199"/>
      <c r="J60" s="209"/>
      <c r="K60" s="199"/>
      <c r="L60" s="200"/>
      <c r="M60" s="200"/>
      <c r="N60" s="200"/>
      <c r="O60" s="200"/>
      <c r="P60" s="200"/>
      <c r="Q60" s="200"/>
      <c r="R60" s="200"/>
      <c r="S60" s="142">
        <f t="shared" si="56"/>
        <v>0</v>
      </c>
      <c r="T60" s="143" t="b">
        <f t="shared" si="57"/>
        <v>0</v>
      </c>
      <c r="U60" s="143">
        <f t="shared" si="58"/>
        <v>0</v>
      </c>
      <c r="V60" s="211"/>
      <c r="W60" s="211"/>
      <c r="X60" s="142">
        <f t="shared" si="8"/>
        <v>0</v>
      </c>
      <c r="Y60" s="143" t="b">
        <f t="shared" si="9"/>
        <v>0</v>
      </c>
      <c r="Z60" s="143">
        <f t="shared" si="59"/>
        <v>0</v>
      </c>
      <c r="AA60" s="211"/>
      <c r="AB60" s="211"/>
      <c r="AC60" s="142">
        <f t="shared" si="10"/>
        <v>0</v>
      </c>
      <c r="AD60" s="143" t="b">
        <f t="shared" si="11"/>
        <v>0</v>
      </c>
      <c r="AE60" s="143">
        <f t="shared" si="60"/>
        <v>0</v>
      </c>
      <c r="AF60" s="186">
        <f t="shared" si="12"/>
        <v>0</v>
      </c>
      <c r="AG60" s="213"/>
      <c r="AH60" s="213"/>
      <c r="AI60" s="213"/>
      <c r="AJ60" s="211"/>
      <c r="AK60" s="211"/>
      <c r="AL60" s="211"/>
      <c r="AM60" s="142">
        <f t="shared" si="13"/>
        <v>0</v>
      </c>
      <c r="AN60" s="186" t="b">
        <f t="shared" si="6"/>
        <v>0</v>
      </c>
      <c r="AO60" s="186">
        <f t="shared" si="14"/>
        <v>0</v>
      </c>
      <c r="AP60" s="186">
        <f t="shared" si="15"/>
        <v>0</v>
      </c>
      <c r="AQ60" s="186" t="b">
        <f t="shared" si="55"/>
        <v>0</v>
      </c>
      <c r="AR60" s="145" t="b">
        <f t="shared" si="16"/>
        <v>0</v>
      </c>
    </row>
    <row r="61" spans="1:44" ht="15" customHeight="1">
      <c r="A61" s="155">
        <v>50</v>
      </c>
      <c r="B61" s="196"/>
      <c r="C61" s="200"/>
      <c r="D61" s="200"/>
      <c r="E61" s="201"/>
      <c r="F61" s="201"/>
      <c r="G61" s="197"/>
      <c r="H61" s="198"/>
      <c r="I61" s="199"/>
      <c r="J61" s="207"/>
      <c r="K61" s="199"/>
      <c r="L61" s="200"/>
      <c r="M61" s="200"/>
      <c r="N61" s="200"/>
      <c r="O61" s="200"/>
      <c r="P61" s="200"/>
      <c r="Q61" s="200"/>
      <c r="R61" s="200"/>
      <c r="S61" s="142">
        <f t="shared" si="56"/>
        <v>0</v>
      </c>
      <c r="T61" s="143" t="b">
        <f t="shared" si="57"/>
        <v>0</v>
      </c>
      <c r="U61" s="143">
        <f t="shared" si="58"/>
        <v>0</v>
      </c>
      <c r="V61" s="211"/>
      <c r="W61" s="211"/>
      <c r="X61" s="142">
        <f t="shared" si="8"/>
        <v>0</v>
      </c>
      <c r="Y61" s="143" t="b">
        <f t="shared" si="9"/>
        <v>0</v>
      </c>
      <c r="Z61" s="143">
        <f t="shared" si="59"/>
        <v>0</v>
      </c>
      <c r="AA61" s="211"/>
      <c r="AB61" s="211"/>
      <c r="AC61" s="142">
        <f t="shared" si="10"/>
        <v>0</v>
      </c>
      <c r="AD61" s="143" t="b">
        <f t="shared" si="11"/>
        <v>0</v>
      </c>
      <c r="AE61" s="143">
        <f t="shared" si="60"/>
        <v>0</v>
      </c>
      <c r="AF61" s="186">
        <f t="shared" si="12"/>
        <v>0</v>
      </c>
      <c r="AG61" s="211"/>
      <c r="AH61" s="211"/>
      <c r="AI61" s="211"/>
      <c r="AJ61" s="211"/>
      <c r="AK61" s="211"/>
      <c r="AL61" s="211"/>
      <c r="AM61" s="142">
        <f t="shared" si="13"/>
        <v>0</v>
      </c>
      <c r="AN61" s="186" t="b">
        <f t="shared" si="6"/>
        <v>0</v>
      </c>
      <c r="AO61" s="186">
        <f t="shared" si="14"/>
        <v>0</v>
      </c>
      <c r="AP61" s="186">
        <f t="shared" si="15"/>
        <v>0</v>
      </c>
      <c r="AQ61" s="186" t="b">
        <f t="shared" si="55"/>
        <v>0</v>
      </c>
      <c r="AR61" s="145" t="b">
        <f t="shared" si="16"/>
        <v>0</v>
      </c>
    </row>
    <row r="62" spans="1:44" ht="15" customHeight="1">
      <c r="T62" s="142">
        <f>AVERAGE(T15:T43)</f>
        <v>90.669642857142861</v>
      </c>
      <c r="U62" s="142">
        <f t="shared" si="58"/>
        <v>0</v>
      </c>
      <c r="Y62" s="142">
        <f>AVERAGE(Y15:Y43)</f>
        <v>91.035714285714292</v>
      </c>
      <c r="Z62" s="142">
        <f t="shared" si="59"/>
        <v>0</v>
      </c>
      <c r="AD62" s="142">
        <f>AVERAGE(AD15:AD43)</f>
        <v>90.928571428571431</v>
      </c>
      <c r="AE62" s="142">
        <f t="shared" si="60"/>
        <v>0</v>
      </c>
      <c r="AF62" s="186">
        <f t="shared" si="12"/>
        <v>0</v>
      </c>
    </row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</sheetData>
  <autoFilter ref="B13:C61" xr:uid="{00000000-0009-0000-0000-000000000000}"/>
  <mergeCells count="9">
    <mergeCell ref="AQ13:AR13"/>
    <mergeCell ref="A13:A14"/>
    <mergeCell ref="B13:B14"/>
    <mergeCell ref="C13:C14"/>
    <mergeCell ref="D13:K13"/>
    <mergeCell ref="L13:N13"/>
    <mergeCell ref="O13:AF13"/>
    <mergeCell ref="AG13:AI13"/>
    <mergeCell ref="AJ13:AO13"/>
  </mergeCells>
  <conditionalFormatting sqref="AN15">
    <cfRule type="expression" priority="1" stopIfTrue="1">
      <formula>_xleta.largo</formula>
    </cfRule>
    <cfRule type="cellIs" dxfId="6" priority="2" stopIfTrue="1" operator="equal">
      <formula>FALSE</formula>
    </cfRule>
  </conditionalFormatting>
  <conditionalFormatting sqref="A1:AJ14 AK1:AO12 AK14:AO14 A62:XFD65536 AP1:IV20 AM16:AO20 AM15 AO15 AM21:IV61 S15:U61 AC15:AF61 X15:Z61 A15:B61">
    <cfRule type="expression" priority="1223" stopIfTrue="1">
      <formula>_xleta.largo</formula>
    </cfRule>
    <cfRule type="cellIs" dxfId="5" priority="1224" stopIfTrue="1" operator="equal">
      <formula>FALSE</formula>
    </cfRule>
  </conditionalFormatting>
  <dataValidations count="14"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0000000}">
      <formula1>1</formula1>
      <formula2>100</formula2>
    </dataValidation>
    <dataValidation type="list" allowBlank="1" showInputMessage="1" showErrorMessage="1" promptTitle="ÁREA" prompt="Seleccione el área en la que se desempeña el docente evaluado." sqref="K31 J15:J61" xr:uid="{00000000-0002-0000-0000-000001000000}">
      <formula1>$AV$14:$AV$31</formula1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O15:R61 V15:W61 AA15:AB61 AJ16:AL61" xr:uid="{00000000-0002-0000-0000-000002000000}">
      <formula1>1</formula1>
      <formula2>100</formula2>
    </dataValidation>
    <dataValidation allowBlank="1" showInputMessage="1" showErrorMessage="1" promptTitle="ENTIDAD TERRITORIAL CERTIFICADA" prompt="Escriba el nombre de la entidad territorial certificada." sqref="B15:B61" xr:uid="{00000000-0002-0000-0000-000003000000}"/>
    <dataValidation allowBlank="1" showInputMessage="1" showErrorMessage="1" promptTitle="MUNICIPIO" prompt="Escriba el nombre del municipio en el que labora el docente evaluado." sqref="C15:C61" xr:uid="{00000000-0002-0000-0000-000004000000}"/>
    <dataValidation type="list" allowBlank="1" showInputMessage="1" showErrorMessage="1" promptTitle="Tipo de identificación" prompt="Seleccione el Tipo de Identificación del Evaluado._x000a_CC: Cédula de Ciudadanía_x000a_CE: Cédula de Extranjería" sqref="D15:D61" xr:uid="{00000000-0002-0000-0000-000005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32 E43:E61" xr:uid="{00000000-0002-0000-0000-000006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32 F43:F61" xr:uid="{00000000-0002-0000-0000-000007000000}"/>
    <dataValidation allowBlank="1" showInputMessage="1" showErrorMessage="1" promptTitle="ESTABLECIMIENTO EDUCATIVO" prompt="Escriba el nombre del establecimiento educativo en el que labora el docente evaluado." sqref="G15:G61" xr:uid="{00000000-0002-0000-0000-000008000000}"/>
    <dataValidation allowBlank="1" showInputMessage="1" showErrorMessage="1" promptTitle="Código DANE" prompt="Escriba el código DANE del establecimiento educativo en el que labora el docente evaluado." sqref="H15:H32 H34:H61" xr:uid="{00000000-0002-0000-0000-000009000000}"/>
    <dataValidation type="list" allowBlank="1" showInputMessage="1" showErrorMessage="1" promptTitle="ZONA" prompt="Seleccione la zona en la que se ubica el establecimiento educativo." sqref="I15:I32 I34:I61" xr:uid="{00000000-0002-0000-0000-00000A000000}">
      <formula1>$AU$14:$AU$15</formula1>
    </dataValidation>
    <dataValidation type="list" allowBlank="1" showInputMessage="1" showErrorMessage="1" promptTitle="NIVEL" prompt="Seleccione el nivel en el que enseña el docente evaluado." sqref="K56:K61 K15:K30 K32:K49" xr:uid="{00000000-0002-0000-0000-00000B000000}">
      <formula1>$AW$14:$AW$15</formula1>
    </dataValidation>
    <dataValidation allowBlank="1" showInputMessage="1" showErrorMessage="1" promptTitle="Ponderación áreas de gestión" prompt="RECUERDE QUE LA SUMA DE LAS PONDERACIONES DE LAS ÁREAS DE GESTIÓN SIEMPRE DEBE SER IGUAL A 70." sqref="L15:N61" xr:uid="{00000000-0002-0000-0000-00000C000000}"/>
    <dataValidation type="list" allowBlank="1" showInputMessage="1" showErrorMessage="1" promptTitle="Competencias comportamentales" prompt="Seleccione las competencias comportamentales evaluadas. Recuerede que no se pueden repetir para un evaluado." sqref="AG15:AI61" xr:uid="{00000000-0002-0000-0000-00000D000000}">
      <formula1>$AX$14:$AX$19</formula1>
    </dataValidation>
  </dataValidations>
  <pageMargins left="0.196850393700787" right="0.196850393700787" top="0.196850393700787" bottom="0.196850393700787" header="0" footer="0"/>
  <pageSetup orientation="landscape"/>
  <headerFooter alignWithMargins="0"/>
  <ignoredErrors>
    <ignoredError sqref="AR43:AR61 AR15:AR20" unlockedFormula="1"/>
    <ignoredError sqref="AQ2 AM2:AN2" evalError="1"/>
    <ignoredError sqref="AA2:AB2 O2:R2 V2:W2" evalError="1" emptyCellReference="1"/>
    <ignoredError sqref="AD15:AE20 AD43:AE61 AN43:AN61 Y43:Z61 T43:U61 T15:U20 AN16:AN20 Y15:Z20 AA4:AB5 V4:W5 O4:R5 AA1:AB1 O1:R1 V1:W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workbookViewId="0">
      <pane xSplit="5" ySplit="2" topLeftCell="AR15" activePane="bottomRight" state="frozen"/>
      <selection pane="topRight"/>
      <selection pane="bottomLeft"/>
      <selection pane="bottomRight" activeCell="AU15" sqref="A15:AU15"/>
    </sheetView>
  </sheetViews>
  <sheetFormatPr baseColWidth="10" defaultColWidth="0" defaultRowHeight="15.75" customHeight="1" zeroHeight="1"/>
  <cols>
    <col min="1" max="1" width="8.5703125" style="137" customWidth="1"/>
    <col min="2" max="3" width="37.42578125" style="138" customWidth="1"/>
    <col min="4" max="4" width="13.7109375" style="139" customWidth="1"/>
    <col min="5" max="5" width="16.7109375" style="140" customWidth="1"/>
    <col min="6" max="7" width="45.7109375" style="141" customWidth="1"/>
    <col min="8" max="8" width="23.140625" style="137" customWidth="1"/>
    <col min="9" max="9" width="6.85546875" style="139" customWidth="1"/>
    <col min="10" max="10" width="39.42578125" style="139" customWidth="1"/>
    <col min="11" max="14" width="10.7109375" style="139" customWidth="1"/>
    <col min="15" max="16" width="13.7109375" style="142" customWidth="1"/>
    <col min="17" max="17" width="13.7109375" style="142" hidden="1" customWidth="1"/>
    <col min="18" max="21" width="13.7109375" style="142" customWidth="1"/>
    <col min="22" max="22" width="13.7109375" style="142" hidden="1" customWidth="1"/>
    <col min="23" max="26" width="13.7109375" style="142" customWidth="1"/>
    <col min="27" max="27" width="13.7109375" style="142" hidden="1" customWidth="1"/>
    <col min="28" max="31" width="13.7109375" style="142" customWidth="1"/>
    <col min="32" max="32" width="13.7109375" style="142" hidden="1" customWidth="1"/>
    <col min="33" max="34" width="13.7109375" style="142" customWidth="1"/>
    <col min="35" max="35" width="10.5703125" style="143" customWidth="1"/>
    <col min="36" max="38" width="20.7109375" style="142" customWidth="1"/>
    <col min="39" max="41" width="15.140625" style="142" customWidth="1"/>
    <col min="42" max="42" width="12.7109375" style="142" hidden="1" customWidth="1"/>
    <col min="43" max="44" width="18.7109375" style="143" customWidth="1"/>
    <col min="45" max="45" width="16.7109375" style="143" hidden="1" customWidth="1"/>
    <col min="46" max="46" width="16.7109375" style="144" customWidth="1"/>
    <col min="47" max="47" width="20" style="145" customWidth="1"/>
    <col min="48" max="48" width="0.28515625" style="146" customWidth="1"/>
    <col min="49" max="49" width="9.7109375" style="139" hidden="1" customWidth="1"/>
    <col min="50" max="50" width="5.85546875" style="139" hidden="1" customWidth="1"/>
    <col min="51" max="51" width="6.85546875" style="147" hidden="1" customWidth="1"/>
    <col min="52" max="52" width="11.140625" style="147" hidden="1" customWidth="1"/>
    <col min="53" max="53" width="19.28515625" style="139" hidden="1" customWidth="1"/>
    <col min="54" max="16384" width="0" style="139" hidden="1"/>
  </cols>
  <sheetData>
    <row r="1" spans="1:53" s="135" customFormat="1" ht="16.5" hidden="1">
      <c r="A1" s="148"/>
      <c r="B1" s="149"/>
      <c r="C1" s="149"/>
      <c r="D1" s="150"/>
      <c r="E1" s="151"/>
      <c r="F1" s="152"/>
      <c r="G1" s="152"/>
      <c r="H1" s="153" t="s">
        <v>75</v>
      </c>
      <c r="I1" s="135">
        <f>COUNTIF($I$15:$I$25,"Rural")</f>
        <v>0</v>
      </c>
      <c r="J1" s="150">
        <f>COUNTIF($J$15:$J$25,"Coordinador")</f>
        <v>1</v>
      </c>
      <c r="K1" s="152" t="s">
        <v>109</v>
      </c>
      <c r="L1" s="169"/>
      <c r="M1" s="169"/>
      <c r="N1" s="169" t="s">
        <v>1</v>
      </c>
      <c r="O1" s="148">
        <f>COUNT(O15:O25)</f>
        <v>1</v>
      </c>
      <c r="P1" s="148">
        <f>COUNT(P15:P25)</f>
        <v>1</v>
      </c>
      <c r="Q1" s="148"/>
      <c r="R1" s="148">
        <f>COUNT(R15:R25)</f>
        <v>1</v>
      </c>
      <c r="S1" s="148"/>
      <c r="T1" s="148">
        <f>COUNT(T15:T25)</f>
        <v>1</v>
      </c>
      <c r="U1" s="148">
        <f>COUNT(U15:U25)</f>
        <v>1</v>
      </c>
      <c r="V1" s="148"/>
      <c r="W1" s="148">
        <f>COUNT(W15:W25)</f>
        <v>1</v>
      </c>
      <c r="X1" s="148"/>
      <c r="Y1" s="148">
        <f>COUNT(Y15:Y25)</f>
        <v>1</v>
      </c>
      <c r="Z1" s="148">
        <f>COUNT(Z15:Z25)</f>
        <v>1</v>
      </c>
      <c r="AA1" s="148"/>
      <c r="AB1" s="148">
        <f>COUNT(AB15:AB25)</f>
        <v>1</v>
      </c>
      <c r="AC1" s="148"/>
      <c r="AD1" s="148">
        <f>COUNT(AD15:AD25)</f>
        <v>1</v>
      </c>
      <c r="AE1" s="148">
        <f>COUNT(AE15:AE25)</f>
        <v>1</v>
      </c>
      <c r="AF1" s="148"/>
      <c r="AG1" s="148">
        <f>COUNT(AG15:AG25)</f>
        <v>1</v>
      </c>
      <c r="AH1" s="148" t="s">
        <v>2</v>
      </c>
      <c r="AI1" s="148">
        <f t="shared" ref="AI1:AI7" si="0">SUM(AJ1:AL1)</f>
        <v>0</v>
      </c>
      <c r="AJ1" s="148">
        <f>COUNTIF(AJ15:AJ25,"Liderazgo")</f>
        <v>0</v>
      </c>
      <c r="AK1" s="148">
        <f>COUNTIF(AK15:AK25,"Liderazgo")</f>
        <v>0</v>
      </c>
      <c r="AL1" s="148">
        <f>COUNTIF(AL15:AL25,"Liderazgo")</f>
        <v>0</v>
      </c>
      <c r="AM1" s="148">
        <f>COUNT(AM15:AM25)</f>
        <v>1</v>
      </c>
      <c r="AN1" s="148">
        <f>COUNT(AN15:AN25)</f>
        <v>1</v>
      </c>
      <c r="AO1" s="148">
        <f>COUNT(AO15:AO25)</f>
        <v>1</v>
      </c>
      <c r="AP1" s="148"/>
      <c r="AQ1" s="148">
        <f>COUNT(AQ15:AQ25)</f>
        <v>1</v>
      </c>
      <c r="AR1" s="148"/>
      <c r="AS1" s="148"/>
      <c r="AT1" s="148">
        <f>COUNT(AT15:AT25)</f>
        <v>1</v>
      </c>
      <c r="AU1" s="150">
        <f>COUNTIF(AU15:AU25,"NO SATISFACTORIO")</f>
        <v>0</v>
      </c>
      <c r="AV1" s="172"/>
      <c r="AY1" s="150"/>
      <c r="AZ1" s="150"/>
    </row>
    <row r="2" spans="1:53" s="135" customFormat="1" ht="16.5" hidden="1">
      <c r="A2" s="148"/>
      <c r="B2" s="149"/>
      <c r="C2" s="149"/>
      <c r="D2" s="150"/>
      <c r="E2" s="151"/>
      <c r="F2" s="152"/>
      <c r="G2" s="152"/>
      <c r="H2" s="153" t="s">
        <v>82</v>
      </c>
      <c r="I2" s="135">
        <f>COUNTIF($I$15:$I$25,"Urbana")</f>
        <v>1</v>
      </c>
      <c r="J2" s="150">
        <f>COUNTIF($J$15:$J$25,"Director Rural")</f>
        <v>0</v>
      </c>
      <c r="K2" s="152" t="s">
        <v>110</v>
      </c>
      <c r="L2" s="170"/>
      <c r="M2" s="170"/>
      <c r="N2" s="170" t="s">
        <v>4</v>
      </c>
      <c r="O2" s="171">
        <f>AVERAGE(O15:O25)</f>
        <v>93</v>
      </c>
      <c r="P2" s="171">
        <f>AVERAGE(P15:P25)</f>
        <v>94</v>
      </c>
      <c r="Q2" s="171"/>
      <c r="R2" s="171">
        <f>AVERAGE(R15:R25)</f>
        <v>93.5</v>
      </c>
      <c r="S2" s="171"/>
      <c r="T2" s="171">
        <f>AVERAGE(T15:T25)</f>
        <v>94</v>
      </c>
      <c r="U2" s="171">
        <f>AVERAGE(U15:U25)</f>
        <v>95</v>
      </c>
      <c r="V2" s="171"/>
      <c r="W2" s="171">
        <f>AVERAGE(W15:W25)</f>
        <v>94.5</v>
      </c>
      <c r="X2" s="171"/>
      <c r="Y2" s="171">
        <f>AVERAGE(Y15:Y25)</f>
        <v>94</v>
      </c>
      <c r="Z2" s="171">
        <f>AVERAGE(Z15:Z25)</f>
        <v>93</v>
      </c>
      <c r="AA2" s="171"/>
      <c r="AB2" s="171">
        <f>AVERAGE(AB15:AB25)</f>
        <v>93.5</v>
      </c>
      <c r="AC2" s="171"/>
      <c r="AD2" s="171">
        <f>AVERAGE(AD15:AD25)</f>
        <v>94</v>
      </c>
      <c r="AE2" s="171">
        <f>AVERAGE(AE15:AE25)</f>
        <v>94</v>
      </c>
      <c r="AF2" s="171"/>
      <c r="AG2" s="171">
        <f>AVERAGE(AG15:AG25)</f>
        <v>94</v>
      </c>
      <c r="AH2" s="171" t="s">
        <v>5</v>
      </c>
      <c r="AI2" s="148">
        <f t="shared" si="0"/>
        <v>1</v>
      </c>
      <c r="AJ2" s="148">
        <f>COUNTIF(AJ15:AJ25,"Comunicación y relaciones")</f>
        <v>1</v>
      </c>
      <c r="AK2" s="148">
        <f>COUNTIF(AK15:AK25,"Comunicación y relaciones")</f>
        <v>0</v>
      </c>
      <c r="AL2" s="148">
        <f>COUNTIF(AL15:AL25,"Comunicación y relaciones")</f>
        <v>0</v>
      </c>
      <c r="AM2" s="171">
        <f>AVERAGE(AM15:AM25)</f>
        <v>93</v>
      </c>
      <c r="AN2" s="171">
        <f>AVERAGE(AN15:AN25)</f>
        <v>95</v>
      </c>
      <c r="AO2" s="171">
        <f>AVERAGE(AO15:AO25)</f>
        <v>93</v>
      </c>
      <c r="AP2" s="171"/>
      <c r="AQ2" s="171">
        <f>AVERAGE(AQ15:AQ25)</f>
        <v>93.666666666666671</v>
      </c>
      <c r="AR2" s="171"/>
      <c r="AS2" s="171"/>
      <c r="AT2" s="171">
        <f>AVERAGE(AT15:AT25)</f>
        <v>93.824999999999989</v>
      </c>
      <c r="AU2" s="150">
        <f>COUNTIF(AU15:AU25,"SATISFACTORIO")</f>
        <v>0</v>
      </c>
      <c r="AV2" s="173"/>
      <c r="AY2" s="150"/>
      <c r="AZ2" s="150"/>
    </row>
    <row r="3" spans="1:53" s="135" customFormat="1" ht="16.5" hidden="1">
      <c r="A3" s="148"/>
      <c r="B3" s="149"/>
      <c r="C3" s="149"/>
      <c r="D3" s="150"/>
      <c r="E3" s="151"/>
      <c r="F3" s="152"/>
      <c r="G3" s="152"/>
      <c r="H3" s="148"/>
      <c r="J3" s="150">
        <f>COUNTIF($J$15:$J$25,"Rector")</f>
        <v>0</v>
      </c>
      <c r="K3" s="152" t="s">
        <v>111</v>
      </c>
      <c r="L3" s="170"/>
      <c r="M3" s="170"/>
      <c r="N3" s="170" t="s">
        <v>7</v>
      </c>
      <c r="O3" s="171" t="b">
        <f>IF(O1&gt;1,STDEV(O15:O25))</f>
        <v>0</v>
      </c>
      <c r="P3" s="171" t="b">
        <f>IF(P1&gt;1,STDEV(P15:P25))</f>
        <v>0</v>
      </c>
      <c r="Q3" s="171"/>
      <c r="R3" s="171" t="b">
        <f>IF(R1&gt;1,STDEV(R15:R25))</f>
        <v>0</v>
      </c>
      <c r="S3" s="171"/>
      <c r="T3" s="171" t="b">
        <f>IF(T1&gt;1,STDEV(T15:T25))</f>
        <v>0</v>
      </c>
      <c r="U3" s="171" t="b">
        <f>IF(U1&gt;1,STDEV(U15:U25))</f>
        <v>0</v>
      </c>
      <c r="V3" s="171"/>
      <c r="W3" s="171" t="b">
        <f>IF(W1&gt;1,STDEV(W15:W25))</f>
        <v>0</v>
      </c>
      <c r="X3" s="171"/>
      <c r="Y3" s="171" t="b">
        <f>IF(Y1&gt;1,STDEV(Y15:Y25))</f>
        <v>0</v>
      </c>
      <c r="Z3" s="171" t="b">
        <f>IF(Z1&gt;1,STDEV(Z15:Z25))</f>
        <v>0</v>
      </c>
      <c r="AA3" s="171"/>
      <c r="AB3" s="171" t="b">
        <f>IF(AB1&gt;1,STDEV(AB15:AB25))</f>
        <v>0</v>
      </c>
      <c r="AC3" s="171"/>
      <c r="AD3" s="171" t="b">
        <f>IF(AD1&gt;1,STDEV(AD15:AD25))</f>
        <v>0</v>
      </c>
      <c r="AE3" s="171" t="b">
        <f>IF(AE1&gt;1,STDEV(AE15:AE25))</f>
        <v>0</v>
      </c>
      <c r="AF3" s="171"/>
      <c r="AG3" s="171" t="b">
        <f>IF(AG1&gt;1,STDEV(AG15:AG25))</f>
        <v>0</v>
      </c>
      <c r="AH3" s="171" t="s">
        <v>8</v>
      </c>
      <c r="AI3" s="148">
        <f t="shared" si="0"/>
        <v>0</v>
      </c>
      <c r="AJ3" s="148">
        <f>COUNTIF(AJ15:AJ25,"Trabajo en equipo")</f>
        <v>0</v>
      </c>
      <c r="AK3" s="148">
        <f>COUNTIF(AK15:AK25,"Trabajo en equipo")</f>
        <v>0</v>
      </c>
      <c r="AL3" s="148">
        <f>COUNTIF(AL15:AL25,"Trabajo en equipo")</f>
        <v>0</v>
      </c>
      <c r="AM3" s="171" t="b">
        <f>IF(AM1&gt;1,STDEV(AM15:AM25))</f>
        <v>0</v>
      </c>
      <c r="AN3" s="171" t="b">
        <f>IF(AN1&gt;1,STDEV(AN15:AN25))</f>
        <v>0</v>
      </c>
      <c r="AO3" s="171" t="b">
        <f>IF(AO1&gt;1,STDEV(AO15:AO25))</f>
        <v>0</v>
      </c>
      <c r="AP3" s="171"/>
      <c r="AQ3" s="171" t="b">
        <f>IF(AQ1&gt;1,STDEV(AQ15:AQ25))</f>
        <v>0</v>
      </c>
      <c r="AR3" s="171"/>
      <c r="AS3" s="171"/>
      <c r="AT3" s="171" t="b">
        <f>IF(AT1&gt;1,STDEV(AT15:AT25))</f>
        <v>0</v>
      </c>
      <c r="AU3" s="150">
        <f>COUNTIF(AU15:AU25,"SOBRESALIENTE")</f>
        <v>1</v>
      </c>
      <c r="AV3" s="173"/>
      <c r="AY3" s="150"/>
      <c r="AZ3" s="150"/>
    </row>
    <row r="4" spans="1:53" s="135" customFormat="1" ht="16.5" hidden="1">
      <c r="A4" s="148"/>
      <c r="B4" s="149"/>
      <c r="C4" s="149"/>
      <c r="D4" s="150"/>
      <c r="E4" s="151"/>
      <c r="F4" s="152"/>
      <c r="G4" s="152"/>
      <c r="H4" s="148"/>
      <c r="I4" s="170"/>
      <c r="J4" s="150"/>
      <c r="K4" s="170"/>
      <c r="L4" s="170"/>
      <c r="M4" s="170"/>
      <c r="N4" s="170" t="s">
        <v>10</v>
      </c>
      <c r="O4" s="171">
        <f>MIN(O15:O25)</f>
        <v>93</v>
      </c>
      <c r="P4" s="171">
        <f>MIN(P15:P25)</f>
        <v>94</v>
      </c>
      <c r="Q4" s="171"/>
      <c r="R4" s="171">
        <f>MIN(R15:R25)</f>
        <v>93.5</v>
      </c>
      <c r="S4" s="171"/>
      <c r="T4" s="171">
        <f>MIN(T15:T25)</f>
        <v>94</v>
      </c>
      <c r="U4" s="171">
        <f>MIN(U15:U25)</f>
        <v>95</v>
      </c>
      <c r="V4" s="171"/>
      <c r="W4" s="171">
        <f>MIN(W15:W25)</f>
        <v>94.5</v>
      </c>
      <c r="X4" s="171"/>
      <c r="Y4" s="171">
        <f>MIN(Y15:Y25)</f>
        <v>94</v>
      </c>
      <c r="Z4" s="171">
        <f>MIN(Z15:Z25)</f>
        <v>93</v>
      </c>
      <c r="AA4" s="171"/>
      <c r="AB4" s="171">
        <f>MIN(AB15:AB25)</f>
        <v>93.5</v>
      </c>
      <c r="AC4" s="171"/>
      <c r="AD4" s="171">
        <f>MIN(AD15:AD25)</f>
        <v>94</v>
      </c>
      <c r="AE4" s="171">
        <f>MIN(AE15:AE25)</f>
        <v>94</v>
      </c>
      <c r="AF4" s="171"/>
      <c r="AG4" s="171">
        <f>MIN(AG15:AG25)</f>
        <v>94</v>
      </c>
      <c r="AH4" s="171" t="s">
        <v>11</v>
      </c>
      <c r="AI4" s="148">
        <f t="shared" si="0"/>
        <v>0</v>
      </c>
      <c r="AJ4" s="148">
        <f>COUNTIF(AJ15:AJ25,"Negociación y mediación")</f>
        <v>0</v>
      </c>
      <c r="AK4" s="148">
        <f>COUNTIF(AK15:AK25,"Negociación y mediación")</f>
        <v>0</v>
      </c>
      <c r="AL4" s="148">
        <f>COUNTIF(AL15:AL25,"Negociación y mediación")</f>
        <v>0</v>
      </c>
      <c r="AM4" s="171">
        <f>MIN(AM15:AM25)</f>
        <v>93</v>
      </c>
      <c r="AN4" s="171">
        <f>MIN(AN15:AN25)</f>
        <v>95</v>
      </c>
      <c r="AO4" s="171">
        <f>MIN(AO15:AO25)</f>
        <v>93</v>
      </c>
      <c r="AP4" s="171"/>
      <c r="AQ4" s="171">
        <f>MIN(AQ15:AQ25)</f>
        <v>93.666666666666671</v>
      </c>
      <c r="AR4" s="171"/>
      <c r="AS4" s="171"/>
      <c r="AT4" s="171">
        <f>MIN(AT15:AT25)</f>
        <v>93.824999999999989</v>
      </c>
      <c r="AU4" s="150"/>
      <c r="AV4" s="173"/>
      <c r="AY4" s="150"/>
      <c r="AZ4" s="150"/>
    </row>
    <row r="5" spans="1:53" s="135" customFormat="1" ht="16.5" hidden="1">
      <c r="A5" s="148"/>
      <c r="B5" s="149"/>
      <c r="C5" s="149"/>
      <c r="D5" s="150"/>
      <c r="E5" s="151"/>
      <c r="F5" s="152"/>
      <c r="G5" s="152"/>
      <c r="H5" s="148"/>
      <c r="I5" s="170"/>
      <c r="J5" s="150"/>
      <c r="K5" s="170"/>
      <c r="L5" s="170"/>
      <c r="M5" s="170"/>
      <c r="N5" s="170" t="s">
        <v>13</v>
      </c>
      <c r="O5" s="171">
        <f>MAX(O15:O25)</f>
        <v>93</v>
      </c>
      <c r="P5" s="171">
        <f>MAX(P15:P25)</f>
        <v>94</v>
      </c>
      <c r="Q5" s="171"/>
      <c r="R5" s="171">
        <f>MAX(R15:R25)</f>
        <v>93.5</v>
      </c>
      <c r="S5" s="171"/>
      <c r="T5" s="171">
        <f>MAX(T15:T25)</f>
        <v>94</v>
      </c>
      <c r="U5" s="171">
        <f>MAX(U15:U25)</f>
        <v>95</v>
      </c>
      <c r="V5" s="171"/>
      <c r="W5" s="171">
        <f>MAX(W15:W25)</f>
        <v>94.5</v>
      </c>
      <c r="X5" s="171"/>
      <c r="Y5" s="171">
        <f>MAX(Y15:Y25)</f>
        <v>94</v>
      </c>
      <c r="Z5" s="171">
        <f>MAX(Z15:Z25)</f>
        <v>93</v>
      </c>
      <c r="AA5" s="171"/>
      <c r="AB5" s="171">
        <f>MAX(AB15:AB25)</f>
        <v>93.5</v>
      </c>
      <c r="AC5" s="171"/>
      <c r="AD5" s="171">
        <f>MAX(AD15:AD25)</f>
        <v>94</v>
      </c>
      <c r="AE5" s="171">
        <f>MAX(AE15:AE25)</f>
        <v>94</v>
      </c>
      <c r="AF5" s="171"/>
      <c r="AG5" s="171">
        <f>MAX(AG15:AG25)</f>
        <v>94</v>
      </c>
      <c r="AH5" s="171" t="s">
        <v>14</v>
      </c>
      <c r="AI5" s="148">
        <f t="shared" si="0"/>
        <v>1</v>
      </c>
      <c r="AJ5" s="148">
        <f>COUNTIF(AJ15:AJ25,"Compromiso social")</f>
        <v>0</v>
      </c>
      <c r="AK5" s="148">
        <f>COUNTIF(AK15:AK25,"Compromiso social")</f>
        <v>1</v>
      </c>
      <c r="AL5" s="148">
        <f>COUNTIF(AL15:AL25,"Compromiso social")</f>
        <v>0</v>
      </c>
      <c r="AM5" s="171">
        <f>MAX(AM15:AM25)</f>
        <v>93</v>
      </c>
      <c r="AN5" s="171">
        <f>MAX(AN15:AN25)</f>
        <v>95</v>
      </c>
      <c r="AO5" s="171">
        <f>MAX(AO15:AO25)</f>
        <v>93</v>
      </c>
      <c r="AP5" s="171"/>
      <c r="AQ5" s="171">
        <f>MAX(AQ15:AQ25)</f>
        <v>93.666666666666671</v>
      </c>
      <c r="AR5" s="171"/>
      <c r="AS5" s="171"/>
      <c r="AT5" s="171">
        <f>MAX(AT15:AT25)</f>
        <v>93.824999999999989</v>
      </c>
      <c r="AU5" s="150"/>
      <c r="AV5" s="173"/>
      <c r="AY5" s="150"/>
      <c r="AZ5" s="150"/>
    </row>
    <row r="6" spans="1:53" s="135" customFormat="1" ht="16.5" hidden="1">
      <c r="A6" s="148"/>
      <c r="B6" s="149"/>
      <c r="C6" s="149"/>
      <c r="D6" s="150"/>
      <c r="E6" s="151"/>
      <c r="F6" s="152"/>
      <c r="G6" s="152"/>
      <c r="H6" s="148"/>
      <c r="I6" s="170"/>
      <c r="J6" s="150"/>
      <c r="K6" s="170"/>
      <c r="L6" s="170"/>
      <c r="M6" s="170"/>
      <c r="N6" s="170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 t="s">
        <v>16</v>
      </c>
      <c r="AI6" s="148">
        <f t="shared" si="0"/>
        <v>1</v>
      </c>
      <c r="AJ6" s="148">
        <f>COUNTIF(AJ15:AJ25,"Iniciativa")</f>
        <v>0</v>
      </c>
      <c r="AK6" s="148">
        <f>COUNTIF(AK15:AK25,"Iniciativa")</f>
        <v>0</v>
      </c>
      <c r="AL6" s="148">
        <f>COUNTIF(AL15:AL25,"Iniciativa")</f>
        <v>1</v>
      </c>
      <c r="AM6" s="171"/>
      <c r="AN6" s="171"/>
      <c r="AO6" s="171"/>
      <c r="AP6" s="171"/>
      <c r="AQ6" s="171"/>
      <c r="AR6" s="171"/>
      <c r="AS6" s="171"/>
      <c r="AT6" s="171"/>
      <c r="AU6" s="150"/>
      <c r="AV6" s="173"/>
      <c r="AY6" s="150"/>
      <c r="AZ6" s="150"/>
    </row>
    <row r="7" spans="1:53" s="135" customFormat="1" ht="16.5" hidden="1">
      <c r="A7" s="148"/>
      <c r="B7" s="149"/>
      <c r="C7" s="149"/>
      <c r="D7" s="150"/>
      <c r="E7" s="151"/>
      <c r="F7" s="152"/>
      <c r="G7" s="152"/>
      <c r="H7" s="148"/>
      <c r="I7" s="170"/>
      <c r="J7" s="150"/>
      <c r="K7" s="170"/>
      <c r="L7" s="170"/>
      <c r="M7" s="170"/>
      <c r="N7" s="170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 t="s">
        <v>18</v>
      </c>
      <c r="AI7" s="148">
        <f t="shared" si="0"/>
        <v>0</v>
      </c>
      <c r="AJ7" s="148">
        <f>COUNTIF(AJ15:AJ25,"Orientación al logro")</f>
        <v>0</v>
      </c>
      <c r="AK7" s="148">
        <f>COUNTIF(AK15:AK25,"Orientación al logro")</f>
        <v>0</v>
      </c>
      <c r="AL7" s="148">
        <f>COUNTIF(AL15:AL25,"Orientación al logro")</f>
        <v>0</v>
      </c>
      <c r="AM7" s="171"/>
      <c r="AN7" s="171"/>
      <c r="AO7" s="171"/>
      <c r="AP7" s="171"/>
      <c r="AQ7" s="171"/>
      <c r="AR7" s="171"/>
      <c r="AS7" s="171"/>
      <c r="AT7" s="171"/>
      <c r="AU7" s="150"/>
      <c r="AV7" s="173"/>
      <c r="AY7" s="150"/>
      <c r="AZ7" s="150"/>
    </row>
    <row r="8" spans="1:53" s="135" customFormat="1" ht="16.5" hidden="1">
      <c r="A8" s="148"/>
      <c r="B8" s="149"/>
      <c r="C8" s="149"/>
      <c r="D8" s="150"/>
      <c r="E8" s="151"/>
      <c r="F8" s="152"/>
      <c r="G8" s="152"/>
      <c r="H8" s="148"/>
      <c r="I8" s="170"/>
      <c r="J8" s="150"/>
      <c r="K8" s="170"/>
      <c r="L8" s="170"/>
      <c r="M8" s="170"/>
      <c r="N8" s="170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50"/>
      <c r="AV8" s="173"/>
      <c r="AY8" s="150"/>
      <c r="AZ8" s="150"/>
    </row>
    <row r="9" spans="1:53" s="135" customFormat="1" ht="16.5" hidden="1">
      <c r="A9" s="148"/>
      <c r="B9" s="149"/>
      <c r="C9" s="149"/>
      <c r="D9" s="150"/>
      <c r="E9" s="151"/>
      <c r="F9" s="152"/>
      <c r="G9" s="152"/>
      <c r="H9" s="148"/>
      <c r="I9" s="170"/>
      <c r="J9" s="150"/>
      <c r="K9" s="170"/>
      <c r="L9" s="170"/>
      <c r="M9" s="170"/>
      <c r="N9" s="170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50"/>
      <c r="AV9" s="173"/>
      <c r="AY9" s="150"/>
      <c r="AZ9" s="150"/>
    </row>
    <row r="10" spans="1:53" s="135" customFormat="1" ht="16.5" hidden="1">
      <c r="A10" s="148"/>
      <c r="B10" s="149"/>
      <c r="C10" s="149"/>
      <c r="D10" s="150"/>
      <c r="E10" s="151"/>
      <c r="F10" s="152"/>
      <c r="G10" s="152"/>
      <c r="H10" s="148"/>
      <c r="I10" s="170"/>
      <c r="J10" s="150"/>
      <c r="K10" s="170"/>
      <c r="L10" s="170"/>
      <c r="M10" s="170"/>
      <c r="N10" s="170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50"/>
      <c r="AV10" s="173"/>
      <c r="AY10" s="150"/>
      <c r="AZ10" s="150"/>
    </row>
    <row r="11" spans="1:53" s="135" customFormat="1" ht="16.5" hidden="1">
      <c r="A11" s="148"/>
      <c r="B11" s="149"/>
      <c r="C11" s="149"/>
      <c r="D11" s="150"/>
      <c r="E11" s="151"/>
      <c r="F11" s="152"/>
      <c r="G11" s="152"/>
      <c r="H11" s="148"/>
      <c r="I11" s="170"/>
      <c r="J11" s="150"/>
      <c r="K11" s="170"/>
      <c r="L11" s="170"/>
      <c r="M11" s="170"/>
      <c r="N11" s="170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50"/>
      <c r="AV11" s="173"/>
      <c r="AY11" s="150"/>
      <c r="AZ11" s="150"/>
    </row>
    <row r="12" spans="1:53" s="135" customFormat="1" ht="16.5" hidden="1">
      <c r="A12" s="148"/>
      <c r="B12" s="149"/>
      <c r="C12" s="149"/>
      <c r="D12" s="150"/>
      <c r="E12" s="151"/>
      <c r="F12" s="152"/>
      <c r="G12" s="152"/>
      <c r="H12" s="148"/>
      <c r="I12" s="170"/>
      <c r="J12" s="150"/>
      <c r="K12" s="170"/>
      <c r="L12" s="170"/>
      <c r="M12" s="170"/>
      <c r="N12" s="170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50"/>
      <c r="AV12" s="173"/>
      <c r="AY12" s="150"/>
      <c r="AZ12" s="150"/>
    </row>
    <row r="13" spans="1:53" s="136" customFormat="1" ht="30.6" customHeight="1">
      <c r="A13" s="269" t="s">
        <v>24</v>
      </c>
      <c r="B13" s="269" t="s">
        <v>112</v>
      </c>
      <c r="C13" s="269" t="s">
        <v>26</v>
      </c>
      <c r="D13" s="269" t="s">
        <v>27</v>
      </c>
      <c r="E13" s="269"/>
      <c r="F13" s="269"/>
      <c r="G13" s="269"/>
      <c r="H13" s="269"/>
      <c r="I13" s="269"/>
      <c r="J13" s="269"/>
      <c r="K13" s="272" t="s">
        <v>113</v>
      </c>
      <c r="L13" s="273"/>
      <c r="M13" s="273"/>
      <c r="N13" s="270"/>
      <c r="O13" s="269" t="s">
        <v>114</v>
      </c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 t="s">
        <v>115</v>
      </c>
      <c r="AK13" s="269"/>
      <c r="AL13" s="269"/>
      <c r="AM13" s="272" t="s">
        <v>31</v>
      </c>
      <c r="AN13" s="273"/>
      <c r="AO13" s="273"/>
      <c r="AP13" s="274"/>
      <c r="AQ13" s="274"/>
      <c r="AR13" s="275"/>
      <c r="AS13" s="154"/>
      <c r="AT13" s="269" t="s">
        <v>32</v>
      </c>
      <c r="AU13" s="269"/>
      <c r="AV13" s="174"/>
      <c r="AW13" s="175" t="s">
        <v>33</v>
      </c>
      <c r="AX13" s="176" t="s">
        <v>34</v>
      </c>
      <c r="AY13" s="136" t="s">
        <v>34</v>
      </c>
      <c r="AZ13" s="136" t="s">
        <v>116</v>
      </c>
      <c r="BA13" s="176" t="s">
        <v>37</v>
      </c>
    </row>
    <row r="14" spans="1:53" s="136" customFormat="1" ht="30.6" customHeight="1">
      <c r="A14" s="271"/>
      <c r="B14" s="271"/>
      <c r="C14" s="271"/>
      <c r="D14" s="212" t="s">
        <v>38</v>
      </c>
      <c r="E14" s="212" t="s">
        <v>39</v>
      </c>
      <c r="F14" s="212" t="s">
        <v>40</v>
      </c>
      <c r="G14" s="212" t="s">
        <v>41</v>
      </c>
      <c r="H14" s="212" t="s">
        <v>42</v>
      </c>
      <c r="I14" s="212" t="s">
        <v>34</v>
      </c>
      <c r="J14" s="212" t="s">
        <v>117</v>
      </c>
      <c r="K14" s="212" t="s">
        <v>118</v>
      </c>
      <c r="L14" s="212" t="s">
        <v>45</v>
      </c>
      <c r="M14" s="212" t="s">
        <v>46</v>
      </c>
      <c r="N14" s="212" t="s">
        <v>47</v>
      </c>
      <c r="O14" s="212" t="s">
        <v>49</v>
      </c>
      <c r="P14" s="212" t="s">
        <v>119</v>
      </c>
      <c r="Q14" s="212" t="s">
        <v>120</v>
      </c>
      <c r="R14" s="212" t="s">
        <v>121</v>
      </c>
      <c r="S14" s="212" t="s">
        <v>118</v>
      </c>
      <c r="T14" s="212" t="s">
        <v>50</v>
      </c>
      <c r="U14" s="212" t="s">
        <v>122</v>
      </c>
      <c r="V14" s="212" t="s">
        <v>52</v>
      </c>
      <c r="W14" s="212" t="s">
        <v>53</v>
      </c>
      <c r="X14" s="212" t="s">
        <v>45</v>
      </c>
      <c r="Y14" s="212" t="s">
        <v>123</v>
      </c>
      <c r="Z14" s="212" t="s">
        <v>124</v>
      </c>
      <c r="AA14" s="212" t="s">
        <v>56</v>
      </c>
      <c r="AB14" s="212" t="s">
        <v>57</v>
      </c>
      <c r="AC14" s="212" t="s">
        <v>46</v>
      </c>
      <c r="AD14" s="212" t="s">
        <v>58</v>
      </c>
      <c r="AE14" s="212" t="s">
        <v>59</v>
      </c>
      <c r="AF14" s="212" t="s">
        <v>60</v>
      </c>
      <c r="AG14" s="212" t="s">
        <v>61</v>
      </c>
      <c r="AH14" s="212" t="s">
        <v>47</v>
      </c>
      <c r="AI14" s="212" t="s">
        <v>62</v>
      </c>
      <c r="AJ14" s="212" t="s">
        <v>63</v>
      </c>
      <c r="AK14" s="212" t="s">
        <v>64</v>
      </c>
      <c r="AL14" s="212" t="s">
        <v>65</v>
      </c>
      <c r="AM14" s="212" t="s">
        <v>66</v>
      </c>
      <c r="AN14" s="212" t="s">
        <v>67</v>
      </c>
      <c r="AO14" s="212" t="s">
        <v>68</v>
      </c>
      <c r="AP14" s="212" t="s">
        <v>69</v>
      </c>
      <c r="AQ14" s="212" t="s">
        <v>70</v>
      </c>
      <c r="AR14" s="212" t="s">
        <v>71</v>
      </c>
      <c r="AS14" s="212" t="s">
        <v>69</v>
      </c>
      <c r="AT14" s="212" t="s">
        <v>72</v>
      </c>
      <c r="AU14" s="212" t="s">
        <v>73</v>
      </c>
      <c r="AV14" s="174"/>
      <c r="AW14" s="177" t="s">
        <v>74</v>
      </c>
      <c r="AX14" s="178" t="s">
        <v>75</v>
      </c>
      <c r="AY14" s="179" t="s">
        <v>75</v>
      </c>
      <c r="AZ14" s="179" t="s">
        <v>109</v>
      </c>
      <c r="BA14" s="180" t="s">
        <v>77</v>
      </c>
    </row>
    <row r="15" spans="1:53" ht="15" customHeight="1">
      <c r="A15" s="230">
        <v>1</v>
      </c>
      <c r="B15" s="231" t="s">
        <v>78</v>
      </c>
      <c r="C15" s="232" t="s">
        <v>185</v>
      </c>
      <c r="D15" s="233" t="s">
        <v>74</v>
      </c>
      <c r="E15" s="234">
        <v>88283765</v>
      </c>
      <c r="F15" s="235" t="s">
        <v>186</v>
      </c>
      <c r="G15" s="235" t="s">
        <v>187</v>
      </c>
      <c r="H15" s="236">
        <v>154498000085</v>
      </c>
      <c r="I15" s="237" t="s">
        <v>82</v>
      </c>
      <c r="J15" s="238" t="s">
        <v>109</v>
      </c>
      <c r="K15" s="238">
        <v>20</v>
      </c>
      <c r="L15" s="238">
        <v>20</v>
      </c>
      <c r="M15" s="238">
        <v>15</v>
      </c>
      <c r="N15" s="238">
        <v>15</v>
      </c>
      <c r="O15" s="238">
        <v>93</v>
      </c>
      <c r="P15" s="238">
        <v>94</v>
      </c>
      <c r="Q15" s="239">
        <f t="shared" ref="Q15:Q25" si="1">SUM(O15:P15)</f>
        <v>187</v>
      </c>
      <c r="R15" s="240">
        <f t="shared" ref="R15:R25" si="2">IF(Q15&gt;0,AVERAGE(O15:P15))</f>
        <v>93.5</v>
      </c>
      <c r="S15" s="240">
        <f>(R15*K15)/100</f>
        <v>18.7</v>
      </c>
      <c r="T15" s="238">
        <v>94</v>
      </c>
      <c r="U15" s="238">
        <v>95</v>
      </c>
      <c r="V15" s="239">
        <f t="shared" ref="V15:V25" si="3">SUM(T15:U15)</f>
        <v>189</v>
      </c>
      <c r="W15" s="240">
        <f t="shared" ref="W15:W25" si="4">IF(V15&gt;0,AVERAGE(T15:U15))</f>
        <v>94.5</v>
      </c>
      <c r="X15" s="240">
        <f>(W15*L15)/100</f>
        <v>18.899999999999999</v>
      </c>
      <c r="Y15" s="238">
        <v>94</v>
      </c>
      <c r="Z15" s="238">
        <v>93</v>
      </c>
      <c r="AA15" s="239">
        <f t="shared" ref="AA15:AA25" si="5">SUM(Y15:Z15)</f>
        <v>187</v>
      </c>
      <c r="AB15" s="240">
        <f t="shared" ref="AB15:AB25" si="6">IF(AA15&gt;0,AVERAGE(Y15:Z15))</f>
        <v>93.5</v>
      </c>
      <c r="AC15" s="240">
        <f t="shared" ref="AC15:AC25" si="7">(AB15*M15)/100</f>
        <v>14.025</v>
      </c>
      <c r="AD15" s="238">
        <v>94</v>
      </c>
      <c r="AE15" s="238">
        <v>94</v>
      </c>
      <c r="AF15" s="239">
        <f t="shared" ref="AF15:AF25" si="8">SUM(AD15:AE15)</f>
        <v>188</v>
      </c>
      <c r="AG15" s="240">
        <f t="shared" ref="AG15:AG25" si="9">IF(AF15&gt;0,AVERAGE(AD15:AE15))</f>
        <v>94</v>
      </c>
      <c r="AH15" s="240">
        <f t="shared" ref="AH15:AH25" si="10">(AG15*N15)/100</f>
        <v>14.1</v>
      </c>
      <c r="AI15" s="240">
        <f>S15+AC15+AH15+X15</f>
        <v>65.724999999999994</v>
      </c>
      <c r="AJ15" s="238" t="s">
        <v>89</v>
      </c>
      <c r="AK15" s="238" t="s">
        <v>85</v>
      </c>
      <c r="AL15" s="238" t="s">
        <v>86</v>
      </c>
      <c r="AM15" s="238">
        <v>93</v>
      </c>
      <c r="AN15" s="238">
        <v>95</v>
      </c>
      <c r="AO15" s="238">
        <v>93</v>
      </c>
      <c r="AP15" s="239">
        <f t="shared" ref="AP15:AP25" si="11">SUM(AM15:AO15)</f>
        <v>281</v>
      </c>
      <c r="AQ15" s="240">
        <f t="shared" ref="AQ15:AQ25" si="12">IF(AP15&gt;0,AVERAGE(AM15:AO15))</f>
        <v>93.666666666666671</v>
      </c>
      <c r="AR15" s="240">
        <f t="shared" ref="AR15:AR25" si="13">AQ15*0.3</f>
        <v>28.1</v>
      </c>
      <c r="AS15" s="240">
        <f>Q15+V15+AA15+AF15+AP15</f>
        <v>1032</v>
      </c>
      <c r="AT15" s="240">
        <f t="shared" ref="AT15:AT25" si="14">IF(AS15&gt;0,(AI15+AR15))</f>
        <v>93.824999999999989</v>
      </c>
      <c r="AU15" s="241" t="str">
        <f t="shared" ref="AU15:AU25" si="15">IF(AT15=FALSE,FALSE,IF(AT15&lt;60,"NO SATISFACTORIO",IF(AT15&gt;=90,"SOBRESALIENTE","SATISFACTORIO")))</f>
        <v>SOBRESALIENTE</v>
      </c>
      <c r="AW15" s="141" t="s">
        <v>87</v>
      </c>
      <c r="AX15" s="141" t="s">
        <v>82</v>
      </c>
      <c r="AY15" s="181" t="s">
        <v>82</v>
      </c>
      <c r="AZ15" s="181" t="s">
        <v>125</v>
      </c>
      <c r="BA15" s="139" t="s">
        <v>89</v>
      </c>
    </row>
    <row r="16" spans="1:53" ht="15" customHeight="1">
      <c r="A16" s="155">
        <v>2</v>
      </c>
      <c r="B16" s="223" t="s">
        <v>78</v>
      </c>
      <c r="C16" s="224"/>
      <c r="D16" s="224"/>
      <c r="E16" s="225"/>
      <c r="F16" s="226"/>
      <c r="G16" s="227"/>
      <c r="H16" s="228"/>
      <c r="I16" s="229"/>
      <c r="J16" s="229"/>
      <c r="K16" s="229"/>
      <c r="L16" s="229"/>
      <c r="M16" s="229"/>
      <c r="N16" s="229"/>
      <c r="O16" s="229"/>
      <c r="P16" s="229"/>
      <c r="Q16" s="142">
        <f t="shared" si="1"/>
        <v>0</v>
      </c>
      <c r="R16" s="143" t="b">
        <f t="shared" si="2"/>
        <v>0</v>
      </c>
      <c r="S16" s="143">
        <f>(R16*K16)/100</f>
        <v>0</v>
      </c>
      <c r="T16" s="229"/>
      <c r="U16" s="229"/>
      <c r="V16" s="142">
        <f t="shared" si="3"/>
        <v>0</v>
      </c>
      <c r="W16" s="143" t="b">
        <f t="shared" si="4"/>
        <v>0</v>
      </c>
      <c r="X16" s="143">
        <f>(W16*L16)/100</f>
        <v>0</v>
      </c>
      <c r="Y16" s="229"/>
      <c r="Z16" s="229"/>
      <c r="AA16" s="142">
        <f t="shared" si="5"/>
        <v>0</v>
      </c>
      <c r="AB16" s="143" t="b">
        <f t="shared" si="6"/>
        <v>0</v>
      </c>
      <c r="AC16" s="143">
        <f t="shared" si="7"/>
        <v>0</v>
      </c>
      <c r="AD16" s="229"/>
      <c r="AE16" s="229"/>
      <c r="AF16" s="142">
        <f t="shared" si="8"/>
        <v>0</v>
      </c>
      <c r="AG16" s="143" t="b">
        <f t="shared" si="9"/>
        <v>0</v>
      </c>
      <c r="AH16" s="143">
        <f t="shared" si="10"/>
        <v>0</v>
      </c>
      <c r="AI16" s="143">
        <f>S16+AC16+AH16+X16</f>
        <v>0</v>
      </c>
      <c r="AJ16" s="224"/>
      <c r="AK16" s="229"/>
      <c r="AL16" s="224"/>
      <c r="AM16" s="229"/>
      <c r="AN16" s="229"/>
      <c r="AO16" s="229"/>
      <c r="AP16" s="142">
        <f t="shared" si="11"/>
        <v>0</v>
      </c>
      <c r="AQ16" s="143" t="b">
        <f t="shared" si="12"/>
        <v>0</v>
      </c>
      <c r="AR16" s="143">
        <f t="shared" si="13"/>
        <v>0</v>
      </c>
      <c r="AS16" s="143">
        <f t="shared" ref="AS16:AS25" si="16">Q16+V16+AA16+AF16+AP16</f>
        <v>0</v>
      </c>
      <c r="AT16" s="143" t="b">
        <f t="shared" si="14"/>
        <v>0</v>
      </c>
      <c r="AU16" s="145" t="b">
        <f t="shared" si="15"/>
        <v>0</v>
      </c>
      <c r="AW16" s="141"/>
      <c r="AX16" s="141"/>
      <c r="AY16" s="181"/>
      <c r="AZ16" s="181" t="s">
        <v>111</v>
      </c>
      <c r="BA16" s="139" t="s">
        <v>84</v>
      </c>
    </row>
    <row r="17" spans="1:53" ht="15" customHeight="1">
      <c r="A17" s="155">
        <v>3</v>
      </c>
      <c r="B17" s="156" t="s">
        <v>78</v>
      </c>
      <c r="C17" s="160"/>
      <c r="D17" s="157"/>
      <c r="E17" s="161"/>
      <c r="F17" s="162"/>
      <c r="G17" s="163"/>
      <c r="H17" s="164"/>
      <c r="I17" s="160"/>
      <c r="J17" s="160"/>
      <c r="K17" s="161"/>
      <c r="L17" s="161"/>
      <c r="M17" s="161"/>
      <c r="N17" s="161"/>
      <c r="O17" s="161"/>
      <c r="P17" s="161"/>
      <c r="Q17" s="142">
        <f t="shared" si="1"/>
        <v>0</v>
      </c>
      <c r="R17" s="143" t="b">
        <f t="shared" si="2"/>
        <v>0</v>
      </c>
      <c r="S17" s="143">
        <f t="shared" ref="S17:S25" si="17">(R17*K17)/100</f>
        <v>0</v>
      </c>
      <c r="T17" s="161"/>
      <c r="U17" s="161"/>
      <c r="V17" s="142">
        <f t="shared" si="3"/>
        <v>0</v>
      </c>
      <c r="W17" s="143" t="b">
        <f t="shared" si="4"/>
        <v>0</v>
      </c>
      <c r="X17" s="143">
        <f t="shared" ref="X17:X25" si="18">(W17*L17)/100</f>
        <v>0</v>
      </c>
      <c r="Y17" s="161"/>
      <c r="Z17" s="161"/>
      <c r="AA17" s="142">
        <f t="shared" si="5"/>
        <v>0</v>
      </c>
      <c r="AB17" s="143" t="b">
        <f t="shared" si="6"/>
        <v>0</v>
      </c>
      <c r="AC17" s="143">
        <f t="shared" si="7"/>
        <v>0</v>
      </c>
      <c r="AD17" s="161"/>
      <c r="AE17" s="161"/>
      <c r="AF17" s="142">
        <f t="shared" si="8"/>
        <v>0</v>
      </c>
      <c r="AG17" s="143" t="b">
        <f t="shared" si="9"/>
        <v>0</v>
      </c>
      <c r="AH17" s="143">
        <f t="shared" si="10"/>
        <v>0</v>
      </c>
      <c r="AI17" s="143">
        <f t="shared" ref="AI17:AI25" si="19">S17+AC17+AH17+X17</f>
        <v>0</v>
      </c>
      <c r="AJ17" s="161"/>
      <c r="AK17" s="161"/>
      <c r="AL17" s="161"/>
      <c r="AM17" s="161"/>
      <c r="AN17" s="161"/>
      <c r="AO17" s="161"/>
      <c r="AP17" s="142">
        <f t="shared" si="11"/>
        <v>0</v>
      </c>
      <c r="AQ17" s="143" t="b">
        <f t="shared" si="12"/>
        <v>0</v>
      </c>
      <c r="AR17" s="143">
        <f t="shared" si="13"/>
        <v>0</v>
      </c>
      <c r="AS17" s="143">
        <f t="shared" si="16"/>
        <v>0</v>
      </c>
      <c r="AT17" s="143" t="b">
        <f t="shared" si="14"/>
        <v>0</v>
      </c>
      <c r="AU17" s="145" t="b">
        <f t="shared" si="15"/>
        <v>0</v>
      </c>
      <c r="AW17" s="141"/>
      <c r="AX17" s="141"/>
      <c r="BA17" s="139" t="s">
        <v>93</v>
      </c>
    </row>
    <row r="18" spans="1:53" ht="15" customHeight="1">
      <c r="A18" s="155">
        <v>4</v>
      </c>
      <c r="B18" s="156" t="s">
        <v>78</v>
      </c>
      <c r="C18" s="157"/>
      <c r="D18" s="157"/>
      <c r="E18" s="165"/>
      <c r="F18" s="162"/>
      <c r="G18" s="159"/>
      <c r="H18" s="158"/>
      <c r="I18" s="157"/>
      <c r="J18" s="165"/>
      <c r="K18" s="165"/>
      <c r="L18" s="165"/>
      <c r="M18" s="165"/>
      <c r="N18" s="165"/>
      <c r="O18" s="165"/>
      <c r="P18" s="165"/>
      <c r="Q18" s="142">
        <f t="shared" si="1"/>
        <v>0</v>
      </c>
      <c r="R18" s="143" t="b">
        <f t="shared" si="2"/>
        <v>0</v>
      </c>
      <c r="S18" s="143">
        <f t="shared" si="17"/>
        <v>0</v>
      </c>
      <c r="T18" s="165"/>
      <c r="U18" s="165"/>
      <c r="V18" s="142">
        <f t="shared" si="3"/>
        <v>0</v>
      </c>
      <c r="W18" s="143" t="b">
        <f t="shared" si="4"/>
        <v>0</v>
      </c>
      <c r="X18" s="143">
        <f t="shared" si="18"/>
        <v>0</v>
      </c>
      <c r="Y18" s="165"/>
      <c r="Z18" s="165"/>
      <c r="AA18" s="142">
        <f t="shared" si="5"/>
        <v>0</v>
      </c>
      <c r="AB18" s="143" t="b">
        <f t="shared" si="6"/>
        <v>0</v>
      </c>
      <c r="AC18" s="143">
        <f t="shared" si="7"/>
        <v>0</v>
      </c>
      <c r="AD18" s="165"/>
      <c r="AE18" s="165"/>
      <c r="AF18" s="142">
        <f t="shared" si="8"/>
        <v>0</v>
      </c>
      <c r="AG18" s="143" t="b">
        <f t="shared" si="9"/>
        <v>0</v>
      </c>
      <c r="AH18" s="143">
        <f t="shared" si="10"/>
        <v>0</v>
      </c>
      <c r="AI18" s="143">
        <f t="shared" si="19"/>
        <v>0</v>
      </c>
      <c r="AJ18" s="165"/>
      <c r="AK18" s="165"/>
      <c r="AL18" s="165"/>
      <c r="AM18" s="165"/>
      <c r="AN18" s="165"/>
      <c r="AO18" s="165"/>
      <c r="AP18" s="142">
        <f t="shared" si="11"/>
        <v>0</v>
      </c>
      <c r="AQ18" s="143" t="b">
        <f t="shared" si="12"/>
        <v>0</v>
      </c>
      <c r="AR18" s="143">
        <f t="shared" si="13"/>
        <v>0</v>
      </c>
      <c r="AS18" s="143">
        <f t="shared" si="16"/>
        <v>0</v>
      </c>
      <c r="AT18" s="143" t="b">
        <f t="shared" si="14"/>
        <v>0</v>
      </c>
      <c r="AU18" s="145" t="b">
        <f t="shared" si="15"/>
        <v>0</v>
      </c>
      <c r="AW18" s="141"/>
      <c r="AX18" s="141"/>
      <c r="BA18" s="139" t="s">
        <v>85</v>
      </c>
    </row>
    <row r="19" spans="1:53" ht="15" customHeight="1">
      <c r="A19" s="155">
        <v>5</v>
      </c>
      <c r="B19" s="156"/>
      <c r="C19" s="157"/>
      <c r="D19" s="157"/>
      <c r="E19" s="165"/>
      <c r="F19" s="162"/>
      <c r="G19" s="159"/>
      <c r="H19" s="158"/>
      <c r="I19" s="157"/>
      <c r="J19" s="157"/>
      <c r="K19" s="165"/>
      <c r="L19" s="165"/>
      <c r="M19" s="165"/>
      <c r="N19" s="165"/>
      <c r="O19" s="165"/>
      <c r="P19" s="165"/>
      <c r="Q19" s="142">
        <f t="shared" si="1"/>
        <v>0</v>
      </c>
      <c r="R19" s="143" t="b">
        <f t="shared" si="2"/>
        <v>0</v>
      </c>
      <c r="S19" s="143">
        <f t="shared" si="17"/>
        <v>0</v>
      </c>
      <c r="T19" s="165"/>
      <c r="U19" s="165"/>
      <c r="V19" s="142">
        <f t="shared" si="3"/>
        <v>0</v>
      </c>
      <c r="W19" s="143" t="b">
        <f t="shared" si="4"/>
        <v>0</v>
      </c>
      <c r="X19" s="143">
        <f t="shared" si="18"/>
        <v>0</v>
      </c>
      <c r="Y19" s="165"/>
      <c r="Z19" s="165"/>
      <c r="AA19" s="142">
        <f t="shared" si="5"/>
        <v>0</v>
      </c>
      <c r="AB19" s="143" t="b">
        <f t="shared" si="6"/>
        <v>0</v>
      </c>
      <c r="AC19" s="143">
        <f t="shared" si="7"/>
        <v>0</v>
      </c>
      <c r="AD19" s="165"/>
      <c r="AE19" s="165"/>
      <c r="AF19" s="142">
        <f t="shared" si="8"/>
        <v>0</v>
      </c>
      <c r="AG19" s="143" t="b">
        <f t="shared" si="9"/>
        <v>0</v>
      </c>
      <c r="AH19" s="143">
        <f t="shared" si="10"/>
        <v>0</v>
      </c>
      <c r="AI19" s="143">
        <f t="shared" si="19"/>
        <v>0</v>
      </c>
      <c r="AJ19" s="165"/>
      <c r="AK19" s="165"/>
      <c r="AL19" s="165"/>
      <c r="AM19" s="165"/>
      <c r="AN19" s="165"/>
      <c r="AO19" s="165"/>
      <c r="AP19" s="142">
        <f t="shared" si="11"/>
        <v>0</v>
      </c>
      <c r="AQ19" s="143" t="b">
        <f t="shared" si="12"/>
        <v>0</v>
      </c>
      <c r="AR19" s="143">
        <f t="shared" si="13"/>
        <v>0</v>
      </c>
      <c r="AS19" s="143">
        <f t="shared" si="16"/>
        <v>0</v>
      </c>
      <c r="AT19" s="143" t="b">
        <f t="shared" si="14"/>
        <v>0</v>
      </c>
      <c r="AU19" s="145" t="b">
        <f t="shared" si="15"/>
        <v>0</v>
      </c>
      <c r="AW19" s="141"/>
      <c r="AX19" s="141"/>
      <c r="BA19" s="139" t="s">
        <v>86</v>
      </c>
    </row>
    <row r="20" spans="1:53" ht="15" customHeight="1">
      <c r="A20" s="155">
        <v>6</v>
      </c>
      <c r="B20" s="156"/>
      <c r="C20" s="157"/>
      <c r="D20" s="157"/>
      <c r="E20" s="165"/>
      <c r="F20" s="159"/>
      <c r="G20" s="159"/>
      <c r="H20" s="158"/>
      <c r="I20" s="157"/>
      <c r="J20" s="157"/>
      <c r="K20" s="165"/>
      <c r="L20" s="165"/>
      <c r="M20" s="165"/>
      <c r="N20" s="165"/>
      <c r="O20" s="165"/>
      <c r="P20" s="165"/>
      <c r="Q20" s="142">
        <f t="shared" si="1"/>
        <v>0</v>
      </c>
      <c r="R20" s="143" t="b">
        <f t="shared" si="2"/>
        <v>0</v>
      </c>
      <c r="S20" s="143">
        <f t="shared" si="17"/>
        <v>0</v>
      </c>
      <c r="T20" s="165"/>
      <c r="U20" s="165"/>
      <c r="V20" s="142">
        <f t="shared" si="3"/>
        <v>0</v>
      </c>
      <c r="W20" s="143" t="b">
        <f t="shared" si="4"/>
        <v>0</v>
      </c>
      <c r="X20" s="143">
        <f t="shared" si="18"/>
        <v>0</v>
      </c>
      <c r="Y20" s="165"/>
      <c r="Z20" s="165"/>
      <c r="AA20" s="142">
        <f t="shared" si="5"/>
        <v>0</v>
      </c>
      <c r="AB20" s="143" t="b">
        <f t="shared" si="6"/>
        <v>0</v>
      </c>
      <c r="AC20" s="143">
        <f t="shared" si="7"/>
        <v>0</v>
      </c>
      <c r="AD20" s="165"/>
      <c r="AE20" s="165"/>
      <c r="AF20" s="142">
        <f t="shared" si="8"/>
        <v>0</v>
      </c>
      <c r="AG20" s="143" t="b">
        <f t="shared" si="9"/>
        <v>0</v>
      </c>
      <c r="AH20" s="143">
        <f t="shared" si="10"/>
        <v>0</v>
      </c>
      <c r="AI20" s="143">
        <f t="shared" si="19"/>
        <v>0</v>
      </c>
      <c r="AJ20" s="165"/>
      <c r="AK20" s="165"/>
      <c r="AL20" s="165"/>
      <c r="AM20" s="165"/>
      <c r="AN20" s="165"/>
      <c r="AO20" s="165"/>
      <c r="AP20" s="142">
        <f t="shared" si="11"/>
        <v>0</v>
      </c>
      <c r="AQ20" s="143" t="b">
        <f t="shared" si="12"/>
        <v>0</v>
      </c>
      <c r="AR20" s="143">
        <f t="shared" si="13"/>
        <v>0</v>
      </c>
      <c r="AS20" s="143">
        <f t="shared" si="16"/>
        <v>0</v>
      </c>
      <c r="AT20" s="143" t="b">
        <f t="shared" si="14"/>
        <v>0</v>
      </c>
      <c r="AU20" s="145" t="b">
        <f t="shared" si="15"/>
        <v>0</v>
      </c>
      <c r="AW20" s="141"/>
      <c r="AX20" s="141"/>
      <c r="BA20" s="139" t="s">
        <v>101</v>
      </c>
    </row>
    <row r="21" spans="1:53" ht="15" customHeight="1">
      <c r="A21" s="155">
        <v>7</v>
      </c>
      <c r="B21" s="156"/>
      <c r="C21" s="157"/>
      <c r="D21" s="157"/>
      <c r="E21" s="165"/>
      <c r="F21" s="162"/>
      <c r="G21" s="159"/>
      <c r="H21" s="158"/>
      <c r="I21" s="157"/>
      <c r="J21" s="157"/>
      <c r="K21" s="165"/>
      <c r="L21" s="165"/>
      <c r="M21" s="165"/>
      <c r="N21" s="165"/>
      <c r="O21" s="165"/>
      <c r="P21" s="165"/>
      <c r="Q21" s="142">
        <f t="shared" si="1"/>
        <v>0</v>
      </c>
      <c r="R21" s="143" t="b">
        <f t="shared" si="2"/>
        <v>0</v>
      </c>
      <c r="S21" s="143">
        <f t="shared" si="17"/>
        <v>0</v>
      </c>
      <c r="T21" s="165"/>
      <c r="U21" s="165"/>
      <c r="V21" s="142">
        <f t="shared" si="3"/>
        <v>0</v>
      </c>
      <c r="W21" s="143" t="b">
        <f t="shared" si="4"/>
        <v>0</v>
      </c>
      <c r="X21" s="143">
        <f t="shared" si="18"/>
        <v>0</v>
      </c>
      <c r="Y21" s="165"/>
      <c r="Z21" s="165"/>
      <c r="AA21" s="142">
        <f t="shared" si="5"/>
        <v>0</v>
      </c>
      <c r="AB21" s="143" t="b">
        <f t="shared" si="6"/>
        <v>0</v>
      </c>
      <c r="AC21" s="143">
        <f t="shared" si="7"/>
        <v>0</v>
      </c>
      <c r="AD21" s="165"/>
      <c r="AE21" s="165"/>
      <c r="AF21" s="142">
        <f t="shared" si="8"/>
        <v>0</v>
      </c>
      <c r="AG21" s="143" t="b">
        <f t="shared" si="9"/>
        <v>0</v>
      </c>
      <c r="AH21" s="143">
        <f t="shared" si="10"/>
        <v>0</v>
      </c>
      <c r="AI21" s="143">
        <f t="shared" si="19"/>
        <v>0</v>
      </c>
      <c r="AJ21" s="165"/>
      <c r="AK21" s="165"/>
      <c r="AL21" s="165"/>
      <c r="AM21" s="165"/>
      <c r="AN21" s="165"/>
      <c r="AO21" s="165"/>
      <c r="AP21" s="142">
        <f t="shared" si="11"/>
        <v>0</v>
      </c>
      <c r="AQ21" s="143" t="b">
        <f t="shared" si="12"/>
        <v>0</v>
      </c>
      <c r="AR21" s="143">
        <f t="shared" si="13"/>
        <v>0</v>
      </c>
      <c r="AS21" s="143">
        <f t="shared" si="16"/>
        <v>0</v>
      </c>
      <c r="AT21" s="143" t="b">
        <f t="shared" si="14"/>
        <v>0</v>
      </c>
      <c r="AU21" s="145" t="b">
        <f t="shared" si="15"/>
        <v>0</v>
      </c>
      <c r="AW21" s="141"/>
      <c r="AX21" s="141"/>
    </row>
    <row r="22" spans="1:53" ht="15" customHeight="1">
      <c r="A22" s="155">
        <v>8</v>
      </c>
      <c r="B22" s="156"/>
      <c r="C22" s="157"/>
      <c r="D22" s="157"/>
      <c r="E22" s="165"/>
      <c r="F22" s="166"/>
      <c r="G22" s="159"/>
      <c r="H22" s="158"/>
      <c r="I22" s="157"/>
      <c r="J22" s="157"/>
      <c r="K22" s="165"/>
      <c r="L22" s="165"/>
      <c r="M22" s="165"/>
      <c r="N22" s="165"/>
      <c r="O22" s="165"/>
      <c r="P22" s="165"/>
      <c r="Q22" s="142">
        <f t="shared" si="1"/>
        <v>0</v>
      </c>
      <c r="R22" s="143" t="b">
        <f t="shared" si="2"/>
        <v>0</v>
      </c>
      <c r="S22" s="143">
        <f t="shared" si="17"/>
        <v>0</v>
      </c>
      <c r="T22" s="165"/>
      <c r="U22" s="165"/>
      <c r="V22" s="142">
        <f t="shared" si="3"/>
        <v>0</v>
      </c>
      <c r="W22" s="143" t="b">
        <f t="shared" si="4"/>
        <v>0</v>
      </c>
      <c r="X22" s="143">
        <f t="shared" si="18"/>
        <v>0</v>
      </c>
      <c r="Y22" s="165"/>
      <c r="Z22" s="165"/>
      <c r="AA22" s="142">
        <f t="shared" si="5"/>
        <v>0</v>
      </c>
      <c r="AB22" s="143" t="b">
        <f t="shared" si="6"/>
        <v>0</v>
      </c>
      <c r="AC22" s="143">
        <f t="shared" si="7"/>
        <v>0</v>
      </c>
      <c r="AD22" s="165"/>
      <c r="AE22" s="165"/>
      <c r="AF22" s="142">
        <f t="shared" si="8"/>
        <v>0</v>
      </c>
      <c r="AG22" s="143" t="b">
        <f t="shared" si="9"/>
        <v>0</v>
      </c>
      <c r="AH22" s="143">
        <f t="shared" si="10"/>
        <v>0</v>
      </c>
      <c r="AI22" s="143">
        <f t="shared" si="19"/>
        <v>0</v>
      </c>
      <c r="AJ22" s="157"/>
      <c r="AK22" s="157"/>
      <c r="AL22" s="157"/>
      <c r="AM22" s="165"/>
      <c r="AN22" s="165"/>
      <c r="AO22" s="165"/>
      <c r="AP22" s="142">
        <f t="shared" si="11"/>
        <v>0</v>
      </c>
      <c r="AQ22" s="143" t="b">
        <f t="shared" si="12"/>
        <v>0</v>
      </c>
      <c r="AR22" s="143">
        <f t="shared" si="13"/>
        <v>0</v>
      </c>
      <c r="AS22" s="143">
        <f t="shared" si="16"/>
        <v>0</v>
      </c>
      <c r="AT22" s="143" t="b">
        <f t="shared" si="14"/>
        <v>0</v>
      </c>
      <c r="AU22" s="145" t="b">
        <f t="shared" si="15"/>
        <v>0</v>
      </c>
      <c r="AW22" s="141"/>
      <c r="AX22" s="141"/>
    </row>
    <row r="23" spans="1:53" ht="15" customHeight="1">
      <c r="A23" s="155">
        <v>9</v>
      </c>
      <c r="B23" s="156"/>
      <c r="C23" s="165"/>
      <c r="D23" s="157"/>
      <c r="E23" s="165"/>
      <c r="F23" s="166"/>
      <c r="G23" s="166"/>
      <c r="H23" s="158"/>
      <c r="I23" s="165"/>
      <c r="J23" s="165"/>
      <c r="K23" s="165"/>
      <c r="L23" s="165"/>
      <c r="M23" s="165"/>
      <c r="N23" s="165"/>
      <c r="O23" s="165"/>
      <c r="P23" s="165"/>
      <c r="Q23" s="142">
        <f t="shared" si="1"/>
        <v>0</v>
      </c>
      <c r="R23" s="143" t="b">
        <f t="shared" si="2"/>
        <v>0</v>
      </c>
      <c r="S23" s="143">
        <f t="shared" si="17"/>
        <v>0</v>
      </c>
      <c r="T23" s="165"/>
      <c r="U23" s="165"/>
      <c r="V23" s="142">
        <f t="shared" si="3"/>
        <v>0</v>
      </c>
      <c r="W23" s="143" t="b">
        <f t="shared" si="4"/>
        <v>0</v>
      </c>
      <c r="X23" s="143">
        <f t="shared" si="18"/>
        <v>0</v>
      </c>
      <c r="Y23" s="165"/>
      <c r="Z23" s="165"/>
      <c r="AA23" s="142">
        <f t="shared" si="5"/>
        <v>0</v>
      </c>
      <c r="AB23" s="143" t="b">
        <f t="shared" si="6"/>
        <v>0</v>
      </c>
      <c r="AC23" s="143">
        <f t="shared" si="7"/>
        <v>0</v>
      </c>
      <c r="AD23" s="165"/>
      <c r="AE23" s="165"/>
      <c r="AF23" s="142">
        <f t="shared" si="8"/>
        <v>0</v>
      </c>
      <c r="AG23" s="143" t="b">
        <f t="shared" si="9"/>
        <v>0</v>
      </c>
      <c r="AH23" s="143">
        <f t="shared" si="10"/>
        <v>0</v>
      </c>
      <c r="AI23" s="143">
        <f t="shared" si="19"/>
        <v>0</v>
      </c>
      <c r="AJ23" s="165"/>
      <c r="AK23" s="165"/>
      <c r="AL23" s="165"/>
      <c r="AM23" s="165"/>
      <c r="AN23" s="165"/>
      <c r="AO23" s="165"/>
      <c r="AP23" s="142">
        <f t="shared" si="11"/>
        <v>0</v>
      </c>
      <c r="AQ23" s="143" t="b">
        <f t="shared" si="12"/>
        <v>0</v>
      </c>
      <c r="AR23" s="143">
        <f t="shared" si="13"/>
        <v>0</v>
      </c>
      <c r="AS23" s="143">
        <f t="shared" si="16"/>
        <v>0</v>
      </c>
      <c r="AT23" s="143" t="b">
        <f t="shared" si="14"/>
        <v>0</v>
      </c>
      <c r="AU23" s="145" t="b">
        <f t="shared" si="15"/>
        <v>0</v>
      </c>
      <c r="AW23" s="141"/>
      <c r="AX23" s="141"/>
    </row>
    <row r="24" spans="1:53" ht="15" customHeight="1">
      <c r="A24" s="155">
        <v>10</v>
      </c>
      <c r="B24" s="156"/>
      <c r="C24" s="165"/>
      <c r="D24" s="157"/>
      <c r="E24" s="165"/>
      <c r="F24" s="162"/>
      <c r="G24" s="159"/>
      <c r="H24" s="158"/>
      <c r="I24" s="165"/>
      <c r="J24" s="165"/>
      <c r="K24" s="165"/>
      <c r="L24" s="165"/>
      <c r="M24" s="165"/>
      <c r="N24" s="165"/>
      <c r="O24" s="165"/>
      <c r="P24" s="165"/>
      <c r="Q24" s="142">
        <f t="shared" si="1"/>
        <v>0</v>
      </c>
      <c r="R24" s="143" t="b">
        <f t="shared" si="2"/>
        <v>0</v>
      </c>
      <c r="S24" s="143">
        <f t="shared" si="17"/>
        <v>0</v>
      </c>
      <c r="T24" s="165"/>
      <c r="U24" s="165"/>
      <c r="V24" s="142">
        <f t="shared" si="3"/>
        <v>0</v>
      </c>
      <c r="W24" s="143" t="b">
        <f t="shared" si="4"/>
        <v>0</v>
      </c>
      <c r="X24" s="143">
        <f t="shared" si="18"/>
        <v>0</v>
      </c>
      <c r="Y24" s="165"/>
      <c r="Z24" s="165"/>
      <c r="AA24" s="142">
        <f t="shared" si="5"/>
        <v>0</v>
      </c>
      <c r="AB24" s="143" t="b">
        <f t="shared" si="6"/>
        <v>0</v>
      </c>
      <c r="AC24" s="143">
        <f t="shared" si="7"/>
        <v>0</v>
      </c>
      <c r="AD24" s="165"/>
      <c r="AE24" s="165"/>
      <c r="AF24" s="142">
        <f t="shared" si="8"/>
        <v>0</v>
      </c>
      <c r="AG24" s="143" t="b">
        <f t="shared" si="9"/>
        <v>0</v>
      </c>
      <c r="AH24" s="143">
        <f t="shared" si="10"/>
        <v>0</v>
      </c>
      <c r="AI24" s="143">
        <f t="shared" si="19"/>
        <v>0</v>
      </c>
      <c r="AJ24" s="165"/>
      <c r="AK24" s="165"/>
      <c r="AL24" s="165"/>
      <c r="AM24" s="165"/>
      <c r="AN24" s="165"/>
      <c r="AO24" s="165"/>
      <c r="AP24" s="142">
        <f t="shared" si="11"/>
        <v>0</v>
      </c>
      <c r="AQ24" s="143" t="b">
        <f t="shared" si="12"/>
        <v>0</v>
      </c>
      <c r="AR24" s="143">
        <f t="shared" si="13"/>
        <v>0</v>
      </c>
      <c r="AS24" s="143">
        <f t="shared" si="16"/>
        <v>0</v>
      </c>
      <c r="AT24" s="143" t="b">
        <f t="shared" si="14"/>
        <v>0</v>
      </c>
      <c r="AU24" s="145" t="b">
        <f t="shared" si="15"/>
        <v>0</v>
      </c>
      <c r="AW24" s="141"/>
      <c r="AX24" s="141"/>
    </row>
    <row r="25" spans="1:53" ht="15" customHeight="1">
      <c r="A25" s="155">
        <v>11</v>
      </c>
      <c r="B25" s="156"/>
      <c r="C25" s="167"/>
      <c r="D25" s="157"/>
      <c r="E25" s="165"/>
      <c r="F25" s="168"/>
      <c r="G25" s="166"/>
      <c r="H25" s="158"/>
      <c r="I25" s="165"/>
      <c r="J25" s="165"/>
      <c r="K25" s="165"/>
      <c r="L25" s="165"/>
      <c r="M25" s="165"/>
      <c r="N25" s="165"/>
      <c r="O25" s="167"/>
      <c r="P25" s="165"/>
      <c r="Q25" s="142">
        <f t="shared" si="1"/>
        <v>0</v>
      </c>
      <c r="R25" s="143" t="b">
        <f t="shared" si="2"/>
        <v>0</v>
      </c>
      <c r="S25" s="143">
        <f t="shared" si="17"/>
        <v>0</v>
      </c>
      <c r="T25" s="165"/>
      <c r="U25" s="165"/>
      <c r="V25" s="142">
        <f t="shared" si="3"/>
        <v>0</v>
      </c>
      <c r="W25" s="143" t="b">
        <f t="shared" si="4"/>
        <v>0</v>
      </c>
      <c r="X25" s="143">
        <f t="shared" si="18"/>
        <v>0</v>
      </c>
      <c r="Y25" s="167"/>
      <c r="Z25" s="165"/>
      <c r="AA25" s="142">
        <f t="shared" si="5"/>
        <v>0</v>
      </c>
      <c r="AB25" s="143" t="b">
        <f t="shared" si="6"/>
        <v>0</v>
      </c>
      <c r="AC25" s="143">
        <f t="shared" si="7"/>
        <v>0</v>
      </c>
      <c r="AD25" s="165"/>
      <c r="AE25" s="165"/>
      <c r="AF25" s="142">
        <f t="shared" si="8"/>
        <v>0</v>
      </c>
      <c r="AG25" s="143" t="b">
        <f t="shared" si="9"/>
        <v>0</v>
      </c>
      <c r="AH25" s="143">
        <f t="shared" si="10"/>
        <v>0</v>
      </c>
      <c r="AI25" s="143">
        <f t="shared" si="19"/>
        <v>0</v>
      </c>
      <c r="AJ25" s="165"/>
      <c r="AK25" s="165"/>
      <c r="AL25" s="165"/>
      <c r="AM25" s="165"/>
      <c r="AN25" s="165"/>
      <c r="AO25" s="165"/>
      <c r="AP25" s="142">
        <f t="shared" si="11"/>
        <v>0</v>
      </c>
      <c r="AQ25" s="143" t="b">
        <f t="shared" si="12"/>
        <v>0</v>
      </c>
      <c r="AR25" s="143">
        <f t="shared" si="13"/>
        <v>0</v>
      </c>
      <c r="AS25" s="143">
        <f t="shared" si="16"/>
        <v>0</v>
      </c>
      <c r="AT25" s="143" t="b">
        <f t="shared" si="14"/>
        <v>0</v>
      </c>
      <c r="AU25" s="145" t="b">
        <f t="shared" si="15"/>
        <v>0</v>
      </c>
      <c r="AW25" s="141"/>
      <c r="AX25" s="141"/>
    </row>
  </sheetData>
  <autoFilter ref="A13:AU25" xr:uid="{00000000-0009-0000-0000-000001000000}"/>
  <mergeCells count="9">
    <mergeCell ref="AT13:AU13"/>
    <mergeCell ref="A13:A14"/>
    <mergeCell ref="B13:B14"/>
    <mergeCell ref="C13:C14"/>
    <mergeCell ref="D13:J13"/>
    <mergeCell ref="K13:N13"/>
    <mergeCell ref="O13:AI13"/>
    <mergeCell ref="AJ13:AL13"/>
    <mergeCell ref="AM13:AR13"/>
  </mergeCells>
  <conditionalFormatting sqref="AP1:AR12 AP14:AR25 AD1:AE14 T1:U14 Y1:Z14 I4:I14 J1:P14 AJ1:AO14 A1:H14 AS1:IV25 V1:X25 AA1:AC25 AF1:AI25 Q1:S25 A15:A25">
    <cfRule type="expression" priority="815" stopIfTrue="1">
      <formula>_xleta.largo</formula>
    </cfRule>
    <cfRule type="cellIs" dxfId="4" priority="816" stopIfTrue="1" operator="equal">
      <formula>FALSE</formula>
    </cfRule>
  </conditionalFormatting>
  <dataValidations count="13"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0000000}">
      <formula1>1</formula1>
      <formula2>100</formula2>
    </dataValidation>
    <dataValidation allowBlank="1" showInputMessage="1" showErrorMessage="1" promptTitle="ENTIDAD TERRITORIAL CERTIFICADA" prompt="Escriba el nombre de la entidad territorial certificada." sqref="B15:B25" xr:uid="{00000000-0002-0000-0100-000001000000}"/>
    <dataValidation allowBlank="1" showInputMessage="1" showErrorMessage="1" promptTitle="MUNICIPIO" prompt="Escriba el nombre del municipio en el que labora el docente evaluado." sqref="C15:C25" xr:uid="{00000000-0002-0000-0100-000002000000}"/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3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5000000}"/>
    <dataValidation allowBlank="1" showInputMessage="1" showErrorMessage="1" promptTitle="ESTABLECIMIENTO EDUCATIVO" prompt="Escriba el nombre del establecimiento educativo en el que labora el docente evaluado." sqref="G15:G25" xr:uid="{00000000-0002-0000-0100-000006000000}"/>
    <dataValidation allowBlank="1" showInputMessage="1" showErrorMessage="1" promptTitle="Código DANE" prompt="Escriba el código DANE del establecimiento educativo en el que labora el docente evaluado." sqref="H15:H25" xr:uid="{00000000-0002-0000-0100-000007000000}"/>
    <dataValidation type="list" allowBlank="1" showInputMessage="1" showErrorMessage="1" promptTitle="ZONA" prompt="Seleccione la zona en la que se ubica el establecimiento educativo." sqref="I15:I25" xr:uid="{00000000-0002-0000-0100-000008000000}">
      <formula1>$AX$14:$AX$15</formula1>
    </dataValidation>
    <dataValidation type="list" allowBlank="1" showInputMessage="1" showErrorMessage="1" promptTitle="CARGO" prompt="Seleccione el cargo que desempeña el directivo docente evaluado." sqref="J15:J25" xr:uid="{00000000-0002-0000-0100-000009000000}">
      <formula1>$AZ$14:$AZ$16</formula1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O15:P25 Y15:Z25 T15:U25 AD15:AE25 AM16:AO25" xr:uid="{00000000-0002-0000-0100-00000A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B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C000000}"/>
  </dataValidations>
  <pageMargins left="0.196850393700787" right="0.196850393700787" top="0.196850393700787" bottom="0.196850393700787" header="0" footer="0"/>
  <pageSetup orientation="landscape"/>
  <headerFooter alignWithMargins="0"/>
  <ignoredErrors>
    <ignoredError sqref="AG17:AH25 AB17:AC25 W17:X25 R15 AQ15:AQ25 AG15:AH15 AB15:AC15 W15:X15 R17:S25 J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view="pageBreakPreview" topLeftCell="A73" zoomScaleNormal="90" workbookViewId="0">
      <selection activeCell="E4" sqref="E4:L4"/>
    </sheetView>
  </sheetViews>
  <sheetFormatPr baseColWidth="10" defaultColWidth="0" defaultRowHeight="11.25" zeroHeight="1"/>
  <cols>
    <col min="1" max="2" width="0.85546875" style="2" customWidth="1"/>
    <col min="3" max="3" width="1.7109375" style="2" customWidth="1"/>
    <col min="4" max="12" width="10.7109375" style="2" customWidth="1"/>
    <col min="13" max="14" width="1" style="2" customWidth="1"/>
    <col min="15" max="15" width="1" style="2" hidden="1" customWidth="1"/>
    <col min="16" max="16384" width="11.5703125" style="2" hidden="1"/>
  </cols>
  <sheetData>
    <row r="1" spans="1:14">
      <c r="A1" s="3"/>
      <c r="B1" s="4"/>
      <c r="C1" s="333"/>
      <c r="D1" s="333"/>
      <c r="E1" s="332" t="s">
        <v>126</v>
      </c>
      <c r="F1" s="332"/>
      <c r="G1" s="332"/>
      <c r="H1" s="332"/>
      <c r="I1" s="332"/>
      <c r="J1" s="332"/>
      <c r="K1" s="332"/>
      <c r="L1" s="332"/>
      <c r="M1" s="4"/>
      <c r="N1" s="63"/>
    </row>
    <row r="2" spans="1:14" s="1" customFormat="1" ht="13.5" customHeight="1">
      <c r="A2" s="5"/>
      <c r="B2" s="6"/>
      <c r="C2" s="334"/>
      <c r="D2" s="334"/>
      <c r="E2" s="328" t="s">
        <v>127</v>
      </c>
      <c r="F2" s="328"/>
      <c r="G2" s="328"/>
      <c r="H2" s="328"/>
      <c r="I2" s="328"/>
      <c r="J2" s="328"/>
      <c r="K2" s="328"/>
      <c r="L2" s="328"/>
      <c r="M2" s="7"/>
      <c r="N2" s="64"/>
    </row>
    <row r="3" spans="1:14" s="1" customFormat="1" ht="13.5" customHeight="1">
      <c r="A3" s="5"/>
      <c r="B3" s="6"/>
      <c r="C3" s="334"/>
      <c r="D3" s="334"/>
      <c r="E3" s="328" t="s">
        <v>128</v>
      </c>
      <c r="F3" s="328"/>
      <c r="G3" s="328"/>
      <c r="H3" s="328"/>
      <c r="I3" s="328"/>
      <c r="J3" s="328"/>
      <c r="K3" s="328"/>
      <c r="L3" s="328"/>
      <c r="M3" s="7"/>
      <c r="N3" s="64"/>
    </row>
    <row r="4" spans="1:14" s="1" customFormat="1" ht="13.5" customHeight="1">
      <c r="A4" s="5"/>
      <c r="B4" s="6"/>
      <c r="C4" s="334"/>
      <c r="D4" s="334"/>
      <c r="E4" s="328" t="s">
        <v>129</v>
      </c>
      <c r="F4" s="328"/>
      <c r="G4" s="328"/>
      <c r="H4" s="328"/>
      <c r="I4" s="328"/>
      <c r="J4" s="328"/>
      <c r="K4" s="328"/>
      <c r="L4" s="328"/>
      <c r="M4" s="7"/>
      <c r="N4" s="64"/>
    </row>
    <row r="5" spans="1:14" s="1" customFormat="1" ht="12.75" customHeight="1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4"/>
    </row>
    <row r="6" spans="1:14" s="1" customFormat="1">
      <c r="A6" s="5"/>
      <c r="B6" s="8" t="s">
        <v>130</v>
      </c>
      <c r="C6" s="7"/>
      <c r="D6" s="7"/>
      <c r="E6" s="7"/>
      <c r="F6" s="9" t="str">
        <f>Docentes!B15</f>
        <v>NORTE DE SANTANDER</v>
      </c>
      <c r="G6" s="7"/>
      <c r="H6" s="7"/>
      <c r="I6" s="7"/>
      <c r="J6" s="7"/>
      <c r="K6" s="7"/>
      <c r="L6" s="7"/>
      <c r="M6" s="7"/>
      <c r="N6" s="64"/>
    </row>
    <row r="7" spans="1:14" s="1" customFormat="1" ht="9" customHeight="1">
      <c r="A7" s="5"/>
      <c r="B7" s="10"/>
      <c r="C7" s="10"/>
      <c r="D7" s="10"/>
      <c r="E7" s="10"/>
      <c r="F7" s="10"/>
      <c r="G7" s="10"/>
      <c r="H7" s="10"/>
      <c r="I7" s="65"/>
      <c r="J7" s="10"/>
      <c r="K7" s="10"/>
      <c r="L7" s="10"/>
      <c r="M7" s="10"/>
      <c r="N7" s="64"/>
    </row>
    <row r="8" spans="1:14" s="1" customFormat="1" ht="12.75" customHeight="1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66"/>
      <c r="N8" s="11"/>
    </row>
    <row r="9" spans="1:14" s="1" customFormat="1">
      <c r="A9" s="11"/>
      <c r="B9" s="14"/>
      <c r="C9" s="328" t="s">
        <v>131</v>
      </c>
      <c r="D9" s="328"/>
      <c r="E9" s="328"/>
      <c r="F9" s="328"/>
      <c r="G9" s="328"/>
      <c r="H9" s="328"/>
      <c r="I9" s="328"/>
      <c r="J9" s="328"/>
      <c r="K9" s="328"/>
      <c r="L9" s="328"/>
      <c r="M9" s="67"/>
      <c r="N9" s="11"/>
    </row>
    <row r="10" spans="1:14" s="1" customFormat="1">
      <c r="A10" s="11"/>
      <c r="B10" s="14"/>
      <c r="C10" s="123"/>
      <c r="D10" s="123"/>
      <c r="E10" s="10"/>
      <c r="F10" s="10"/>
      <c r="G10" s="10"/>
      <c r="H10" s="10"/>
      <c r="I10" s="10"/>
      <c r="J10" s="10"/>
      <c r="K10" s="10"/>
      <c r="L10" s="10"/>
      <c r="M10" s="67"/>
      <c r="N10" s="11"/>
    </row>
    <row r="11" spans="1:14" s="1" customFormat="1" ht="12.75" customHeight="1">
      <c r="A11" s="11"/>
      <c r="B11" s="17"/>
      <c r="C11" s="302" t="s">
        <v>132</v>
      </c>
      <c r="D11" s="303"/>
      <c r="E11" s="303"/>
      <c r="F11" s="303"/>
      <c r="G11" s="303"/>
      <c r="H11" s="304"/>
      <c r="I11" s="126"/>
      <c r="J11" s="302" t="s">
        <v>133</v>
      </c>
      <c r="K11" s="303"/>
      <c r="L11" s="304"/>
      <c r="M11" s="68"/>
      <c r="N11" s="11"/>
    </row>
    <row r="12" spans="1:14" s="1" customFormat="1" ht="12.75" customHeight="1">
      <c r="A12" s="11"/>
      <c r="B12" s="17"/>
      <c r="C12" s="326" t="s">
        <v>43</v>
      </c>
      <c r="D12" s="327"/>
      <c r="E12" s="327"/>
      <c r="F12" s="327"/>
      <c r="G12" s="26" t="s">
        <v>24</v>
      </c>
      <c r="H12" s="27" t="s">
        <v>134</v>
      </c>
      <c r="I12" s="126"/>
      <c r="J12" s="127" t="s">
        <v>34</v>
      </c>
      <c r="K12" s="26" t="s">
        <v>24</v>
      </c>
      <c r="L12" s="27" t="s">
        <v>134</v>
      </c>
      <c r="M12" s="68"/>
      <c r="N12" s="11"/>
    </row>
    <row r="13" spans="1:14" s="1" customFormat="1" ht="12.75" customHeight="1">
      <c r="A13" s="11"/>
      <c r="B13" s="17"/>
      <c r="C13" s="311" t="s">
        <v>135</v>
      </c>
      <c r="D13" s="331"/>
      <c r="E13" s="331"/>
      <c r="F13" s="331"/>
      <c r="G13" s="29">
        <f>Docentes!$J$1</f>
        <v>1</v>
      </c>
      <c r="H13" s="30">
        <f t="shared" ref="H13:H24" si="0">(G13*100)/$G$25</f>
        <v>6.666666666666667</v>
      </c>
      <c r="I13" s="128"/>
      <c r="J13" s="129" t="s">
        <v>75</v>
      </c>
      <c r="K13" s="29">
        <f>COUNTIF(Docentes!$I$15:$I$61,"Rural")</f>
        <v>0</v>
      </c>
      <c r="L13" s="30">
        <f>(K13*100)/K15</f>
        <v>0</v>
      </c>
      <c r="M13" s="68"/>
      <c r="N13" s="11"/>
    </row>
    <row r="14" spans="1:14" s="1" customFormat="1" ht="12.75" customHeight="1">
      <c r="A14" s="11"/>
      <c r="B14" s="17"/>
      <c r="C14" s="314" t="s">
        <v>136</v>
      </c>
      <c r="D14" s="330"/>
      <c r="E14" s="330"/>
      <c r="F14" s="330"/>
      <c r="G14" s="124">
        <f>Docentes!$J$2</f>
        <v>1</v>
      </c>
      <c r="H14" s="125">
        <f t="shared" si="0"/>
        <v>6.666666666666667</v>
      </c>
      <c r="I14" s="128"/>
      <c r="J14" s="130" t="s">
        <v>82</v>
      </c>
      <c r="K14" s="36">
        <f>COUNTIF(Docentes!$I$15:$I$61,"Urbana")</f>
        <v>28</v>
      </c>
      <c r="L14" s="37">
        <f>(K14*100)/K15</f>
        <v>100</v>
      </c>
      <c r="M14" s="68"/>
      <c r="N14" s="11"/>
    </row>
    <row r="15" spans="1:14" s="1" customFormat="1" ht="12.75" customHeight="1">
      <c r="A15" s="11"/>
      <c r="B15" s="17"/>
      <c r="C15" s="314" t="s">
        <v>137</v>
      </c>
      <c r="D15" s="330"/>
      <c r="E15" s="330"/>
      <c r="F15" s="330"/>
      <c r="G15" s="124">
        <f>Docentes!$J$3</f>
        <v>0</v>
      </c>
      <c r="H15" s="125">
        <f t="shared" si="0"/>
        <v>0</v>
      </c>
      <c r="I15" s="128"/>
      <c r="J15" s="127" t="s">
        <v>138</v>
      </c>
      <c r="K15" s="26">
        <f>SUM(K13:K14)</f>
        <v>28</v>
      </c>
      <c r="L15" s="38">
        <f>SUM(L13:L14)</f>
        <v>100</v>
      </c>
      <c r="M15" s="68"/>
      <c r="N15" s="11"/>
    </row>
    <row r="16" spans="1:14" s="1" customFormat="1" ht="12.75" customHeight="1">
      <c r="A16" s="11"/>
      <c r="B16" s="17"/>
      <c r="C16" s="314" t="s">
        <v>139</v>
      </c>
      <c r="D16" s="330"/>
      <c r="E16" s="330"/>
      <c r="F16" s="330"/>
      <c r="G16" s="124">
        <f>Docentes!$J$4</f>
        <v>0</v>
      </c>
      <c r="H16" s="125">
        <f t="shared" si="0"/>
        <v>0</v>
      </c>
      <c r="I16" s="128"/>
      <c r="J16" s="13"/>
      <c r="K16" s="13"/>
      <c r="L16" s="13"/>
      <c r="M16" s="68"/>
      <c r="N16" s="11"/>
    </row>
    <row r="17" spans="1:14" s="1" customFormat="1" ht="12.75" customHeight="1">
      <c r="A17" s="11"/>
      <c r="B17" s="17"/>
      <c r="C17" s="314" t="s">
        <v>140</v>
      </c>
      <c r="D17" s="330"/>
      <c r="E17" s="330"/>
      <c r="F17" s="330"/>
      <c r="G17" s="124">
        <f>Docentes!$J$5</f>
        <v>0</v>
      </c>
      <c r="H17" s="125">
        <f t="shared" si="0"/>
        <v>0</v>
      </c>
      <c r="I17" s="128"/>
      <c r="J17" s="7"/>
      <c r="K17" s="7"/>
      <c r="L17" s="7"/>
      <c r="M17" s="68"/>
      <c r="N17" s="11"/>
    </row>
    <row r="18" spans="1:14" s="1" customFormat="1" ht="12.75" customHeight="1">
      <c r="A18" s="11"/>
      <c r="B18" s="17"/>
      <c r="C18" s="314" t="s">
        <v>141</v>
      </c>
      <c r="D18" s="330"/>
      <c r="E18" s="330"/>
      <c r="F18" s="330"/>
      <c r="G18" s="124">
        <f>Docentes!$J$6</f>
        <v>0</v>
      </c>
      <c r="H18" s="125">
        <f t="shared" si="0"/>
        <v>0</v>
      </c>
      <c r="I18" s="128"/>
      <c r="J18" s="7"/>
      <c r="K18" s="7"/>
      <c r="L18" s="7"/>
      <c r="M18" s="68"/>
      <c r="N18" s="11"/>
    </row>
    <row r="19" spans="1:14" s="1" customFormat="1" ht="12.75" customHeight="1">
      <c r="A19" s="11"/>
      <c r="B19" s="17"/>
      <c r="C19" s="314" t="s">
        <v>17</v>
      </c>
      <c r="D19" s="330"/>
      <c r="E19" s="330"/>
      <c r="F19" s="330"/>
      <c r="G19" s="124">
        <f>Docentes!$J$7</f>
        <v>2</v>
      </c>
      <c r="H19" s="125">
        <f t="shared" si="0"/>
        <v>13.333333333333334</v>
      </c>
      <c r="I19" s="128"/>
      <c r="J19" s="59"/>
      <c r="K19" s="59"/>
      <c r="L19" s="59"/>
      <c r="M19" s="68"/>
      <c r="N19" s="11"/>
    </row>
    <row r="20" spans="1:14" s="1" customFormat="1" ht="12.75" customHeight="1">
      <c r="A20" s="11"/>
      <c r="B20" s="17"/>
      <c r="C20" s="314" t="s">
        <v>19</v>
      </c>
      <c r="D20" s="330"/>
      <c r="E20" s="330"/>
      <c r="F20" s="330"/>
      <c r="G20" s="124">
        <f>Docentes!$J$8</f>
        <v>3</v>
      </c>
      <c r="H20" s="125">
        <f t="shared" si="0"/>
        <v>20</v>
      </c>
      <c r="I20" s="128"/>
      <c r="J20" s="302" t="s">
        <v>142</v>
      </c>
      <c r="K20" s="303"/>
      <c r="L20" s="304"/>
      <c r="M20" s="68"/>
      <c r="N20" s="11"/>
    </row>
    <row r="21" spans="1:14" s="1" customFormat="1" ht="12.75" customHeight="1">
      <c r="A21" s="11"/>
      <c r="B21" s="17"/>
      <c r="C21" s="314" t="s">
        <v>20</v>
      </c>
      <c r="D21" s="330"/>
      <c r="E21" s="330"/>
      <c r="F21" s="330"/>
      <c r="G21" s="124">
        <f>Docentes!$J$9</f>
        <v>7</v>
      </c>
      <c r="H21" s="125">
        <f t="shared" si="0"/>
        <v>46.666666666666664</v>
      </c>
      <c r="I21" s="128"/>
      <c r="J21" s="25" t="s">
        <v>44</v>
      </c>
      <c r="K21" s="26" t="s">
        <v>24</v>
      </c>
      <c r="L21" s="27" t="s">
        <v>134</v>
      </c>
      <c r="M21" s="68"/>
      <c r="N21" s="11"/>
    </row>
    <row r="22" spans="1:14" s="1" customFormat="1" ht="12.75" customHeight="1">
      <c r="A22" s="11"/>
      <c r="B22" s="17"/>
      <c r="C22" s="314" t="s">
        <v>143</v>
      </c>
      <c r="D22" s="330"/>
      <c r="E22" s="330"/>
      <c r="F22" s="330"/>
      <c r="G22" s="124">
        <f>Docentes!$J$10</f>
        <v>0</v>
      </c>
      <c r="H22" s="125">
        <f t="shared" si="0"/>
        <v>0</v>
      </c>
      <c r="I22" s="128"/>
      <c r="J22" s="28" t="s">
        <v>76</v>
      </c>
      <c r="K22" s="29">
        <f>COUNTIF(Docentes!$K$15:$K$61,"Preescolar")</f>
        <v>2</v>
      </c>
      <c r="L22" s="30">
        <f>(K22*100)/K25</f>
        <v>7.1428571428571432</v>
      </c>
      <c r="M22" s="68"/>
      <c r="N22" s="11"/>
    </row>
    <row r="23" spans="1:14" s="1" customFormat="1" ht="12.75" customHeight="1">
      <c r="A23" s="11"/>
      <c r="B23" s="17"/>
      <c r="C23" s="314" t="s">
        <v>22</v>
      </c>
      <c r="D23" s="330"/>
      <c r="E23" s="330"/>
      <c r="F23" s="330"/>
      <c r="G23" s="124">
        <f>Docentes!$J$11</f>
        <v>0</v>
      </c>
      <c r="H23" s="125">
        <f t="shared" si="0"/>
        <v>0</v>
      </c>
      <c r="I23" s="128"/>
      <c r="J23" s="32" t="s">
        <v>144</v>
      </c>
      <c r="K23" s="124">
        <f>COUNTIF(Docentes!$K$15:$K$61,"Básica primaria")</f>
        <v>9</v>
      </c>
      <c r="L23" s="125">
        <f>(K23*100)/K25</f>
        <v>32.142857142857146</v>
      </c>
      <c r="M23" s="68"/>
      <c r="N23" s="11"/>
    </row>
    <row r="24" spans="1:14" s="1" customFormat="1" ht="12.75" customHeight="1">
      <c r="A24" s="11"/>
      <c r="B24" s="17"/>
      <c r="C24" s="324" t="s">
        <v>145</v>
      </c>
      <c r="D24" s="325"/>
      <c r="E24" s="325"/>
      <c r="F24" s="325"/>
      <c r="G24" s="36">
        <f>Docentes!$J$12</f>
        <v>1</v>
      </c>
      <c r="H24" s="37">
        <f t="shared" si="0"/>
        <v>6.666666666666667</v>
      </c>
      <c r="I24" s="128"/>
      <c r="J24" s="35" t="s">
        <v>146</v>
      </c>
      <c r="K24" s="36">
        <f>COUNTIF(Docentes!$K$15:$K$61,"Básica secundaria y media")</f>
        <v>17</v>
      </c>
      <c r="L24" s="37">
        <f>(K24*100)/K25</f>
        <v>60.714285714285715</v>
      </c>
      <c r="M24" s="68"/>
      <c r="N24" s="11"/>
    </row>
    <row r="25" spans="1:14" s="1" customFormat="1" ht="12.75" customHeight="1">
      <c r="A25" s="11"/>
      <c r="B25" s="17"/>
      <c r="C25" s="326" t="s">
        <v>138</v>
      </c>
      <c r="D25" s="327"/>
      <c r="E25" s="327"/>
      <c r="F25" s="327"/>
      <c r="G25" s="26">
        <f>SUM(G13:G24)</f>
        <v>15</v>
      </c>
      <c r="H25" s="38">
        <f>SUM(H13:H24)</f>
        <v>100.00000000000001</v>
      </c>
      <c r="I25" s="126"/>
      <c r="J25" s="25" t="s">
        <v>138</v>
      </c>
      <c r="K25" s="26">
        <f>SUM(K22:K24)</f>
        <v>28</v>
      </c>
      <c r="L25" s="38">
        <f>SUM(L22:L24)</f>
        <v>100</v>
      </c>
      <c r="M25" s="68"/>
      <c r="N25" s="11"/>
    </row>
    <row r="26" spans="1:14" s="1" customFormat="1" ht="12.75" customHeight="1">
      <c r="A26" s="11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75"/>
      <c r="N26" s="11"/>
    </row>
    <row r="27" spans="1:14" s="1" customFormat="1" ht="6.75" customHeight="1">
      <c r="A27" s="11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66"/>
      <c r="N27" s="11"/>
    </row>
    <row r="28" spans="1:14" s="1" customFormat="1" ht="15" customHeight="1">
      <c r="A28" s="11"/>
      <c r="B28" s="14"/>
      <c r="C28" s="328" t="s">
        <v>147</v>
      </c>
      <c r="D28" s="328"/>
      <c r="E28" s="328"/>
      <c r="F28" s="328"/>
      <c r="G28" s="328"/>
      <c r="H28" s="328"/>
      <c r="I28" s="328"/>
      <c r="J28" s="328"/>
      <c r="K28" s="328"/>
      <c r="L28" s="328"/>
      <c r="M28" s="67"/>
      <c r="N28" s="11"/>
    </row>
    <row r="29" spans="1:14" s="1" customFormat="1" ht="15" customHeight="1">
      <c r="A29" s="11"/>
      <c r="B29" s="14"/>
      <c r="C29" s="329" t="s">
        <v>148</v>
      </c>
      <c r="D29" s="329"/>
      <c r="E29" s="329"/>
      <c r="F29" s="329"/>
      <c r="G29" s="329"/>
      <c r="H29" s="329"/>
      <c r="I29" s="329"/>
      <c r="J29" s="329"/>
      <c r="K29" s="329"/>
      <c r="L29" s="329"/>
      <c r="M29" s="67"/>
      <c r="N29" s="11"/>
    </row>
    <row r="30" spans="1:14" s="1" customFormat="1" ht="15" customHeight="1">
      <c r="A30" s="11"/>
      <c r="B30" s="14"/>
      <c r="C30" s="329" t="s">
        <v>149</v>
      </c>
      <c r="D30" s="329"/>
      <c r="E30" s="329"/>
      <c r="F30" s="329"/>
      <c r="G30" s="329"/>
      <c r="H30" s="329"/>
      <c r="I30" s="329"/>
      <c r="J30" s="329"/>
      <c r="K30" s="329"/>
      <c r="L30" s="329"/>
      <c r="M30" s="67"/>
      <c r="N30" s="11"/>
    </row>
    <row r="31" spans="1:14" ht="9" customHeight="1">
      <c r="A31" s="44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76"/>
      <c r="N31" s="44"/>
    </row>
    <row r="32" spans="1:14" ht="25.5" customHeight="1">
      <c r="A32" s="44"/>
      <c r="B32" s="47"/>
      <c r="C32" s="321" t="s">
        <v>150</v>
      </c>
      <c r="D32" s="321"/>
      <c r="E32" s="322"/>
      <c r="F32" s="322"/>
      <c r="G32" s="323"/>
      <c r="H32" s="48" t="s">
        <v>151</v>
      </c>
      <c r="I32" s="48" t="s">
        <v>152</v>
      </c>
      <c r="J32" s="48" t="s">
        <v>153</v>
      </c>
      <c r="K32" s="48" t="s">
        <v>154</v>
      </c>
      <c r="L32" s="77" t="s">
        <v>155</v>
      </c>
      <c r="M32" s="78"/>
      <c r="N32" s="44"/>
    </row>
    <row r="33" spans="1:14" ht="16.899999999999999" customHeight="1">
      <c r="A33" s="44"/>
      <c r="B33" s="47"/>
      <c r="C33" s="282" t="s">
        <v>156</v>
      </c>
      <c r="D33" s="309" t="s">
        <v>48</v>
      </c>
      <c r="E33" s="310"/>
      <c r="F33" s="310"/>
      <c r="G33" s="311"/>
      <c r="H33" s="49">
        <f>Docentes!$O$1</f>
        <v>28</v>
      </c>
      <c r="I33" s="79">
        <f>Docentes!$O$4</f>
        <v>89</v>
      </c>
      <c r="J33" s="79">
        <f>Docentes!$O$5</f>
        <v>93</v>
      </c>
      <c r="K33" s="79">
        <f>Docentes!$O$2</f>
        <v>90.785714285714292</v>
      </c>
      <c r="L33" s="80">
        <f>Docentes!$O$3</f>
        <v>1.2279806626883454</v>
      </c>
      <c r="M33" s="78"/>
      <c r="N33" s="44"/>
    </row>
    <row r="34" spans="1:14" ht="16.899999999999999" customHeight="1">
      <c r="A34" s="44"/>
      <c r="B34" s="47"/>
      <c r="C34" s="283"/>
      <c r="D34" s="312" t="s">
        <v>49</v>
      </c>
      <c r="E34" s="313"/>
      <c r="F34" s="313"/>
      <c r="G34" s="314"/>
      <c r="H34" s="54">
        <f>Docentes!$P$1</f>
        <v>28</v>
      </c>
      <c r="I34" s="89">
        <f>Docentes!$P$4</f>
        <v>88</v>
      </c>
      <c r="J34" s="89">
        <f>Docentes!$P$5</f>
        <v>94</v>
      </c>
      <c r="K34" s="89">
        <f>Docentes!$P$2</f>
        <v>90.678571428571431</v>
      </c>
      <c r="L34" s="90">
        <f>Docentes!$P$3</f>
        <v>1.3622848842368123</v>
      </c>
      <c r="M34" s="78"/>
      <c r="N34" s="44"/>
    </row>
    <row r="35" spans="1:14" ht="16.899999999999999" customHeight="1">
      <c r="A35" s="44"/>
      <c r="B35" s="47"/>
      <c r="C35" s="283"/>
      <c r="D35" s="312" t="s">
        <v>50</v>
      </c>
      <c r="E35" s="313"/>
      <c r="F35" s="313"/>
      <c r="G35" s="314"/>
      <c r="H35" s="54">
        <f>Docentes!$Q$1</f>
        <v>28</v>
      </c>
      <c r="I35" s="89">
        <f>Docentes!$Q$4</f>
        <v>89</v>
      </c>
      <c r="J35" s="89">
        <f>Docentes!$Q$5</f>
        <v>93</v>
      </c>
      <c r="K35" s="89">
        <f>Docentes!$Q$2</f>
        <v>90.642857142857139</v>
      </c>
      <c r="L35" s="90">
        <f>Docentes!$Q$3</f>
        <v>1.0615950861718073</v>
      </c>
      <c r="M35" s="78"/>
      <c r="N35" s="44"/>
    </row>
    <row r="36" spans="1:14" ht="16.899999999999999" customHeight="1">
      <c r="A36" s="44"/>
      <c r="B36" s="47"/>
      <c r="C36" s="283"/>
      <c r="D36" s="306" t="s">
        <v>157</v>
      </c>
      <c r="E36" s="307"/>
      <c r="F36" s="307"/>
      <c r="G36" s="308"/>
      <c r="H36" s="50">
        <f>Docentes!$R$1</f>
        <v>28</v>
      </c>
      <c r="I36" s="81">
        <f>Docentes!$R$4</f>
        <v>89</v>
      </c>
      <c r="J36" s="81">
        <f>Docentes!$R$5</f>
        <v>94</v>
      </c>
      <c r="K36" s="81">
        <f>Docentes!$R$2</f>
        <v>90.571428571428569</v>
      </c>
      <c r="L36" s="82">
        <f>Docentes!$R$3</f>
        <v>1.2598815766974238</v>
      </c>
      <c r="M36" s="78"/>
      <c r="N36" s="44"/>
    </row>
    <row r="37" spans="1:14" ht="16.899999999999999" customHeight="1">
      <c r="A37" s="44"/>
      <c r="B37" s="47"/>
      <c r="C37" s="283"/>
      <c r="D37" s="315" t="s">
        <v>158</v>
      </c>
      <c r="E37" s="316"/>
      <c r="F37" s="316"/>
      <c r="G37" s="317"/>
      <c r="H37" s="51">
        <f>Docentes!$T$1</f>
        <v>28</v>
      </c>
      <c r="I37" s="83">
        <f>Docentes!$T$4</f>
        <v>89</v>
      </c>
      <c r="J37" s="83">
        <f>Docentes!$T$5</f>
        <v>93.5</v>
      </c>
      <c r="K37" s="83">
        <f>Docentes!$T$2</f>
        <v>90.669642857142861</v>
      </c>
      <c r="L37" s="84">
        <f>Docentes!$T$3</f>
        <v>1.1222777174711593</v>
      </c>
      <c r="M37" s="78"/>
      <c r="N37" s="44"/>
    </row>
    <row r="38" spans="1:14" ht="16.899999999999999" customHeight="1">
      <c r="A38" s="44"/>
      <c r="B38" s="47"/>
      <c r="C38" s="283"/>
      <c r="D38" s="318" t="s">
        <v>54</v>
      </c>
      <c r="E38" s="319"/>
      <c r="F38" s="319"/>
      <c r="G38" s="320"/>
      <c r="H38" s="52">
        <f>Docentes!$V$1</f>
        <v>28</v>
      </c>
      <c r="I38" s="85">
        <f>Docentes!$V$4</f>
        <v>89</v>
      </c>
      <c r="J38" s="85">
        <f>Docentes!$V$5</f>
        <v>94</v>
      </c>
      <c r="K38" s="85">
        <f>Docentes!$V$2</f>
        <v>90.785714285714292</v>
      </c>
      <c r="L38" s="86">
        <f>Docentes!$V$3</f>
        <v>1.2279806626883452</v>
      </c>
      <c r="M38" s="78"/>
      <c r="N38" s="44"/>
    </row>
    <row r="39" spans="1:14" ht="16.899999999999999" customHeight="1">
      <c r="A39" s="44"/>
      <c r="B39" s="47"/>
      <c r="C39" s="283"/>
      <c r="D39" s="306" t="s">
        <v>55</v>
      </c>
      <c r="E39" s="307"/>
      <c r="F39" s="307"/>
      <c r="G39" s="308"/>
      <c r="H39" s="50">
        <f>Docentes!$W$1</f>
        <v>28</v>
      </c>
      <c r="I39" s="81">
        <f>Docentes!$W$4</f>
        <v>88</v>
      </c>
      <c r="J39" s="81">
        <f>Docentes!$W$5</f>
        <v>96</v>
      </c>
      <c r="K39" s="81">
        <f>Docentes!$W$2</f>
        <v>91.285714285714292</v>
      </c>
      <c r="L39" s="82">
        <f>Docentes!$W$3</f>
        <v>2.1231901723436151</v>
      </c>
      <c r="M39" s="78"/>
      <c r="N39" s="44"/>
    </row>
    <row r="40" spans="1:14" ht="16.899999999999999" customHeight="1">
      <c r="A40" s="44"/>
      <c r="B40" s="47"/>
      <c r="C40" s="283"/>
      <c r="D40" s="315" t="s">
        <v>159</v>
      </c>
      <c r="E40" s="316"/>
      <c r="F40" s="316"/>
      <c r="G40" s="317"/>
      <c r="H40" s="51">
        <f>Docentes!$Y$1</f>
        <v>28</v>
      </c>
      <c r="I40" s="83">
        <f>Docentes!$Y$4</f>
        <v>88.5</v>
      </c>
      <c r="J40" s="83">
        <f>Docentes!$Y$5</f>
        <v>94</v>
      </c>
      <c r="K40" s="83">
        <f>Docentes!$Y$2</f>
        <v>91.035714285714292</v>
      </c>
      <c r="L40" s="84">
        <f>Docentes!$Y$3</f>
        <v>1.5689615073800287</v>
      </c>
      <c r="M40" s="78"/>
      <c r="N40" s="44"/>
    </row>
    <row r="41" spans="1:14" ht="16.899999999999999" customHeight="1">
      <c r="A41" s="44"/>
      <c r="B41" s="47"/>
      <c r="C41" s="283"/>
      <c r="D41" s="318" t="s">
        <v>58</v>
      </c>
      <c r="E41" s="319"/>
      <c r="F41" s="319"/>
      <c r="G41" s="320"/>
      <c r="H41" s="52">
        <f>Docentes!$AA$1</f>
        <v>28</v>
      </c>
      <c r="I41" s="85">
        <f>Docentes!$AA$4</f>
        <v>88</v>
      </c>
      <c r="J41" s="85">
        <f>Docentes!$AA$5</f>
        <v>94</v>
      </c>
      <c r="K41" s="85">
        <f>Docentes!$AA$2</f>
        <v>91.035714285714292</v>
      </c>
      <c r="L41" s="86">
        <f>Docentes!$AA$3</f>
        <v>1.4525110532413719</v>
      </c>
      <c r="M41" s="78"/>
      <c r="N41" s="44"/>
    </row>
    <row r="42" spans="1:14" ht="16.899999999999999" customHeight="1">
      <c r="A42" s="44"/>
      <c r="B42" s="47"/>
      <c r="C42" s="283"/>
      <c r="D42" s="306" t="s">
        <v>160</v>
      </c>
      <c r="E42" s="307"/>
      <c r="F42" s="307"/>
      <c r="G42" s="308"/>
      <c r="H42" s="50">
        <f>Docentes!$AB$1</f>
        <v>28</v>
      </c>
      <c r="I42" s="81">
        <f>Docentes!$AB$4</f>
        <v>88</v>
      </c>
      <c r="J42" s="81">
        <f>Docentes!$AB$5</f>
        <v>94</v>
      </c>
      <c r="K42" s="81">
        <f>Docentes!$AB$2</f>
        <v>90.821428571428569</v>
      </c>
      <c r="L42" s="82">
        <f>Docentes!$AB$3</f>
        <v>1.564740457204548</v>
      </c>
      <c r="M42" s="78"/>
      <c r="N42" s="44"/>
    </row>
    <row r="43" spans="1:14" ht="16.899999999999999" customHeight="1">
      <c r="A43" s="44"/>
      <c r="B43" s="47"/>
      <c r="C43" s="284"/>
      <c r="D43" s="296" t="s">
        <v>161</v>
      </c>
      <c r="E43" s="297"/>
      <c r="F43" s="297"/>
      <c r="G43" s="298"/>
      <c r="H43" s="53">
        <f>Docentes!$AD$1</f>
        <v>28</v>
      </c>
      <c r="I43" s="87">
        <f>Docentes!$AD$4</f>
        <v>88</v>
      </c>
      <c r="J43" s="87">
        <f>Docentes!$AD$5</f>
        <v>94</v>
      </c>
      <c r="K43" s="87">
        <f>Docentes!$AD$2</f>
        <v>90.928571428571431</v>
      </c>
      <c r="L43" s="88">
        <f>Docentes!$AD$3</f>
        <v>1.4701617806811811</v>
      </c>
      <c r="M43" s="78"/>
      <c r="N43" s="44"/>
    </row>
    <row r="44" spans="1:14" ht="16.899999999999999" customHeight="1">
      <c r="A44" s="44"/>
      <c r="B44" s="47"/>
      <c r="C44" s="282" t="s">
        <v>162</v>
      </c>
      <c r="D44" s="309" t="s">
        <v>63</v>
      </c>
      <c r="E44" s="310"/>
      <c r="F44" s="310"/>
      <c r="G44" s="311"/>
      <c r="H44" s="49">
        <f>Docentes!$AJ$1</f>
        <v>28</v>
      </c>
      <c r="I44" s="79">
        <f>Docentes!$AJ$4</f>
        <v>89</v>
      </c>
      <c r="J44" s="79">
        <f>Docentes!$AJ$5</f>
        <v>94</v>
      </c>
      <c r="K44" s="79">
        <f>Docentes!$AJ$2</f>
        <v>91.392857142857139</v>
      </c>
      <c r="L44" s="80">
        <f>Docentes!$AJ$3</f>
        <v>1.5948826896203971</v>
      </c>
      <c r="M44" s="78"/>
      <c r="N44" s="44"/>
    </row>
    <row r="45" spans="1:14" ht="16.899999999999999" customHeight="1">
      <c r="A45" s="44"/>
      <c r="B45" s="47"/>
      <c r="C45" s="283"/>
      <c r="D45" s="312" t="s">
        <v>64</v>
      </c>
      <c r="E45" s="313"/>
      <c r="F45" s="313"/>
      <c r="G45" s="314"/>
      <c r="H45" s="54">
        <f>Docentes!$AK$1</f>
        <v>28</v>
      </c>
      <c r="I45" s="89">
        <f>Docentes!$AK$4</f>
        <v>89</v>
      </c>
      <c r="J45" s="89">
        <f>Docentes!$AK$5</f>
        <v>94</v>
      </c>
      <c r="K45" s="89">
        <f>Docentes!$AK$2</f>
        <v>91.392857142857139</v>
      </c>
      <c r="L45" s="90">
        <f>Docentes!$AK$3</f>
        <v>1.3968028497458758</v>
      </c>
      <c r="M45" s="78"/>
      <c r="N45" s="44"/>
    </row>
    <row r="46" spans="1:14" ht="16.899999999999999" customHeight="1">
      <c r="A46" s="44"/>
      <c r="B46" s="47"/>
      <c r="C46" s="283"/>
      <c r="D46" s="306" t="s">
        <v>65</v>
      </c>
      <c r="E46" s="307"/>
      <c r="F46" s="307"/>
      <c r="G46" s="308"/>
      <c r="H46" s="50">
        <f>Docentes!$AL$1</f>
        <v>28</v>
      </c>
      <c r="I46" s="81">
        <f>Docentes!$AL$4</f>
        <v>88</v>
      </c>
      <c r="J46" s="81">
        <f>Docentes!$AL$5</f>
        <v>94</v>
      </c>
      <c r="K46" s="81">
        <f>Docentes!$AL$2</f>
        <v>91.392857142857139</v>
      </c>
      <c r="L46" s="82">
        <f>Docentes!$AL$3</f>
        <v>1.8527114407105281</v>
      </c>
      <c r="M46" s="78"/>
      <c r="N46" s="44"/>
    </row>
    <row r="47" spans="1:14" ht="16.899999999999999" customHeight="1">
      <c r="A47" s="44"/>
      <c r="B47" s="47"/>
      <c r="C47" s="284"/>
      <c r="D47" s="296" t="s">
        <v>163</v>
      </c>
      <c r="E47" s="297"/>
      <c r="F47" s="297"/>
      <c r="G47" s="298"/>
      <c r="H47" s="53">
        <f>Docentes!$AN$1</f>
        <v>27</v>
      </c>
      <c r="I47" s="87">
        <f>Docentes!$AN$4</f>
        <v>88.67</v>
      </c>
      <c r="J47" s="87">
        <f>Docentes!$AN$5</f>
        <v>94</v>
      </c>
      <c r="K47" s="87">
        <f>Docentes!$AN$2</f>
        <v>91.381851851851863</v>
      </c>
      <c r="L47" s="88">
        <f>Docentes!$AN$3</f>
        <v>1.6253053186762725</v>
      </c>
      <c r="M47" s="78"/>
      <c r="N47" s="44"/>
    </row>
    <row r="48" spans="1:14" ht="16.899999999999999" customHeight="1">
      <c r="A48" s="44"/>
      <c r="B48" s="47"/>
      <c r="C48" s="55"/>
      <c r="D48" s="299" t="s">
        <v>164</v>
      </c>
      <c r="E48" s="299"/>
      <c r="F48" s="299"/>
      <c r="G48" s="300"/>
      <c r="H48" s="56">
        <f>Docentes!$AQ$1</f>
        <v>28</v>
      </c>
      <c r="I48" s="91">
        <f>Docentes!$AQ$4</f>
        <v>88.775000000000006</v>
      </c>
      <c r="J48" s="91">
        <f>Docentes!$AQ$5</f>
        <v>93.65</v>
      </c>
      <c r="K48" s="91">
        <f>Docentes!$AQ$2</f>
        <v>90.993749999999991</v>
      </c>
      <c r="L48" s="92">
        <f>Docentes!$AQ$3</f>
        <v>1.2857233336689275</v>
      </c>
      <c r="M48" s="78"/>
      <c r="N48" s="44"/>
    </row>
    <row r="49" spans="1:14" s="1" customFormat="1" ht="6.75" customHeight="1">
      <c r="A49" s="11"/>
      <c r="B49" s="14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67"/>
      <c r="N49" s="11"/>
    </row>
    <row r="50" spans="1:14" s="1" customFormat="1">
      <c r="A50" s="11"/>
      <c r="B50" s="14"/>
      <c r="C50" s="57" t="s">
        <v>165</v>
      </c>
      <c r="D50" s="57"/>
      <c r="E50" s="7"/>
      <c r="F50" s="7"/>
      <c r="G50" s="7"/>
      <c r="H50" s="7"/>
      <c r="I50" s="7"/>
      <c r="J50" s="7"/>
      <c r="K50" s="7"/>
      <c r="L50" s="7"/>
      <c r="M50" s="67"/>
      <c r="N50" s="11"/>
    </row>
    <row r="51" spans="1:14" s="1" customFormat="1">
      <c r="A51" s="11"/>
      <c r="B51" s="14"/>
      <c r="C51" s="57" t="s">
        <v>166</v>
      </c>
      <c r="D51" s="57"/>
      <c r="E51" s="7"/>
      <c r="F51" s="7"/>
      <c r="G51" s="7"/>
      <c r="H51" s="7"/>
      <c r="I51" s="7"/>
      <c r="J51" s="7"/>
      <c r="K51" s="7"/>
      <c r="L51" s="7"/>
      <c r="M51" s="67"/>
      <c r="N51" s="11"/>
    </row>
    <row r="52" spans="1:14" s="1" customFormat="1">
      <c r="A52" s="11"/>
      <c r="B52" s="14"/>
      <c r="C52" s="57" t="s">
        <v>167</v>
      </c>
      <c r="D52" s="57"/>
      <c r="E52" s="7"/>
      <c r="F52" s="7"/>
      <c r="G52" s="7"/>
      <c r="H52" s="7"/>
      <c r="I52" s="7"/>
      <c r="J52" s="7"/>
      <c r="K52" s="7"/>
      <c r="L52" s="7"/>
      <c r="M52" s="67"/>
      <c r="N52" s="11"/>
    </row>
    <row r="53" spans="1:14" s="1" customFormat="1">
      <c r="A53" s="11"/>
      <c r="B53" s="14"/>
      <c r="C53" s="57" t="s">
        <v>168</v>
      </c>
      <c r="D53" s="57"/>
      <c r="E53" s="7"/>
      <c r="F53" s="7"/>
      <c r="G53" s="7"/>
      <c r="H53" s="7"/>
      <c r="I53" s="7"/>
      <c r="J53" s="7"/>
      <c r="K53" s="7"/>
      <c r="L53" s="7"/>
      <c r="M53" s="67"/>
      <c r="N53" s="11"/>
    </row>
    <row r="54" spans="1:14" s="1" customFormat="1">
      <c r="A54" s="11"/>
      <c r="B54" s="14"/>
      <c r="C54" s="57" t="s">
        <v>169</v>
      </c>
      <c r="D54" s="57"/>
      <c r="E54" s="7"/>
      <c r="F54" s="7"/>
      <c r="G54" s="7"/>
      <c r="H54" s="7"/>
      <c r="I54" s="7"/>
      <c r="J54" s="7"/>
      <c r="K54" s="7"/>
      <c r="L54" s="7"/>
      <c r="M54" s="67"/>
      <c r="N54" s="11"/>
    </row>
    <row r="55" spans="1:14" s="1" customFormat="1" ht="6.75" customHeight="1">
      <c r="A55" s="58"/>
      <c r="B55" s="42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75"/>
      <c r="N55" s="58"/>
    </row>
    <row r="56" spans="1:14" s="1" customFormat="1" ht="9" customHeight="1">
      <c r="A56" s="3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74"/>
    </row>
    <row r="57" spans="1:14" ht="9" customHeight="1">
      <c r="A57" s="44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93"/>
      <c r="N57" s="44"/>
    </row>
    <row r="58" spans="1:14">
      <c r="A58" s="44"/>
      <c r="B58" s="45"/>
      <c r="C58" s="301" t="s">
        <v>170</v>
      </c>
      <c r="D58" s="301"/>
      <c r="E58" s="301"/>
      <c r="F58" s="301"/>
      <c r="G58" s="301"/>
      <c r="H58" s="301"/>
      <c r="I58" s="301"/>
      <c r="J58" s="301"/>
      <c r="K58" s="301"/>
      <c r="L58" s="301"/>
      <c r="M58" s="76"/>
      <c r="N58" s="44"/>
    </row>
    <row r="59" spans="1:14" ht="9" customHeight="1">
      <c r="A59" s="44"/>
      <c r="B59" s="45"/>
      <c r="C59" s="7"/>
      <c r="D59" s="7"/>
      <c r="E59" s="7"/>
      <c r="F59" s="7"/>
      <c r="G59" s="7"/>
      <c r="H59" s="7"/>
      <c r="I59" s="7"/>
      <c r="J59" s="7"/>
      <c r="K59" s="7"/>
      <c r="L59" s="7"/>
      <c r="M59" s="76"/>
      <c r="N59" s="44"/>
    </row>
    <row r="60" spans="1:14">
      <c r="A60" s="44"/>
      <c r="B60" s="45"/>
      <c r="C60" s="6"/>
      <c r="D60" s="6"/>
      <c r="E60" s="6"/>
      <c r="F60" s="7"/>
      <c r="G60" s="7"/>
      <c r="H60" s="7"/>
      <c r="I60" s="7"/>
      <c r="J60" s="7"/>
      <c r="K60" s="7"/>
      <c r="L60" s="7"/>
      <c r="M60" s="76"/>
      <c r="N60" s="44"/>
    </row>
    <row r="61" spans="1:14">
      <c r="A61" s="44"/>
      <c r="B61" s="45"/>
      <c r="C61" s="6"/>
      <c r="D61" s="6"/>
      <c r="E61" s="6"/>
      <c r="F61" s="6"/>
      <c r="G61" s="6"/>
      <c r="H61" s="7"/>
      <c r="I61" s="7"/>
      <c r="J61" s="7"/>
      <c r="K61" s="7"/>
      <c r="L61" s="7"/>
      <c r="M61" s="76"/>
      <c r="N61" s="44"/>
    </row>
    <row r="62" spans="1:14">
      <c r="A62" s="44"/>
      <c r="B62" s="45"/>
      <c r="C62" s="6"/>
      <c r="D62" s="6"/>
      <c r="E62" s="6"/>
      <c r="F62" s="6"/>
      <c r="G62" s="6"/>
      <c r="H62" s="7"/>
      <c r="I62" s="7"/>
      <c r="J62" s="7"/>
      <c r="K62" s="7"/>
      <c r="L62" s="7"/>
      <c r="M62" s="76"/>
      <c r="N62" s="44"/>
    </row>
    <row r="63" spans="1:14">
      <c r="A63" s="44"/>
      <c r="B63" s="45"/>
      <c r="C63" s="6"/>
      <c r="D63" s="6"/>
      <c r="E63" s="6"/>
      <c r="F63" s="6"/>
      <c r="G63" s="6"/>
      <c r="H63" s="7"/>
      <c r="I63" s="7"/>
      <c r="J63" s="7"/>
      <c r="K63" s="7"/>
      <c r="L63" s="7"/>
      <c r="M63" s="76"/>
      <c r="N63" s="44"/>
    </row>
    <row r="64" spans="1:14">
      <c r="A64" s="44"/>
      <c r="B64" s="45"/>
      <c r="C64" s="6"/>
      <c r="D64" s="6"/>
      <c r="E64" s="6"/>
      <c r="F64" s="6"/>
      <c r="G64" s="6"/>
      <c r="H64" s="7"/>
      <c r="I64" s="7"/>
      <c r="J64" s="7"/>
      <c r="K64" s="7"/>
      <c r="L64" s="7"/>
      <c r="M64" s="76"/>
      <c r="N64" s="44"/>
    </row>
    <row r="65" spans="1:14">
      <c r="A65" s="44"/>
      <c r="B65" s="45"/>
      <c r="C65" s="7"/>
      <c r="D65" s="7"/>
      <c r="E65" s="7"/>
      <c r="F65" s="7"/>
      <c r="G65" s="7"/>
      <c r="H65" s="7"/>
      <c r="I65" s="7"/>
      <c r="J65" s="7"/>
      <c r="K65" s="7"/>
      <c r="L65" s="7"/>
      <c r="M65" s="76"/>
      <c r="N65" s="44"/>
    </row>
    <row r="66" spans="1:14">
      <c r="A66" s="44"/>
      <c r="B66" s="45"/>
      <c r="C66" s="7"/>
      <c r="D66" s="7"/>
      <c r="E66" s="7"/>
      <c r="F66" s="7"/>
      <c r="G66" s="7"/>
      <c r="H66" s="7"/>
      <c r="I66" s="7"/>
      <c r="J66" s="7"/>
      <c r="K66" s="7"/>
      <c r="L66" s="7"/>
      <c r="M66" s="76"/>
      <c r="N66" s="44"/>
    </row>
    <row r="67" spans="1:14">
      <c r="A67" s="44"/>
      <c r="B67" s="45"/>
      <c r="C67" s="6"/>
      <c r="D67" s="6"/>
      <c r="E67" s="6"/>
      <c r="F67" s="6"/>
      <c r="G67" s="6"/>
      <c r="H67" s="7"/>
      <c r="I67" s="7"/>
      <c r="J67" s="7"/>
      <c r="K67" s="7"/>
      <c r="L67" s="7"/>
      <c r="M67" s="76"/>
      <c r="N67" s="44"/>
    </row>
    <row r="68" spans="1:14">
      <c r="A68" s="44"/>
      <c r="B68" s="45"/>
      <c r="C68" s="6"/>
      <c r="D68" s="6"/>
      <c r="E68" s="6"/>
      <c r="F68" s="6"/>
      <c r="G68" s="6"/>
      <c r="H68" s="7"/>
      <c r="I68" s="7"/>
      <c r="J68" s="7"/>
      <c r="K68" s="7"/>
      <c r="L68" s="7"/>
      <c r="M68" s="76"/>
      <c r="N68" s="44"/>
    </row>
    <row r="69" spans="1:14">
      <c r="A69" s="44"/>
      <c r="B69" s="45"/>
      <c r="C69" s="6"/>
      <c r="D69" s="6"/>
      <c r="E69" s="6"/>
      <c r="F69" s="6"/>
      <c r="G69" s="6"/>
      <c r="H69" s="7"/>
      <c r="I69" s="7"/>
      <c r="J69" s="7"/>
      <c r="K69" s="7"/>
      <c r="L69" s="7"/>
      <c r="M69" s="76"/>
      <c r="N69" s="44"/>
    </row>
    <row r="70" spans="1:14">
      <c r="A70" s="44"/>
      <c r="B70" s="45"/>
      <c r="C70" s="6"/>
      <c r="D70" s="6"/>
      <c r="E70" s="6"/>
      <c r="F70" s="6"/>
      <c r="G70" s="6"/>
      <c r="H70" s="7"/>
      <c r="I70" s="7"/>
      <c r="J70" s="7"/>
      <c r="K70" s="7"/>
      <c r="L70" s="7"/>
      <c r="M70" s="76"/>
      <c r="N70" s="44"/>
    </row>
    <row r="71" spans="1:14">
      <c r="A71" s="44"/>
      <c r="B71" s="45"/>
      <c r="C71" s="6"/>
      <c r="D71" s="6"/>
      <c r="E71" s="6"/>
      <c r="F71" s="6"/>
      <c r="G71" s="6"/>
      <c r="H71" s="7"/>
      <c r="I71" s="7"/>
      <c r="J71" s="7"/>
      <c r="K71" s="7"/>
      <c r="L71" s="7"/>
      <c r="M71" s="76"/>
      <c r="N71" s="44"/>
    </row>
    <row r="72" spans="1:14">
      <c r="A72" s="44"/>
      <c r="B72" s="45"/>
      <c r="C72" s="7"/>
      <c r="D72" s="7"/>
      <c r="E72" s="7"/>
      <c r="F72" s="7"/>
      <c r="G72" s="7"/>
      <c r="H72" s="7"/>
      <c r="I72" s="7"/>
      <c r="J72" s="7"/>
      <c r="K72" s="7"/>
      <c r="L72" s="7"/>
      <c r="M72" s="76"/>
      <c r="N72" s="44"/>
    </row>
    <row r="73" spans="1:14">
      <c r="A73" s="44"/>
      <c r="B73" s="45"/>
      <c r="C73" s="7"/>
      <c r="D73" s="7"/>
      <c r="E73" s="7"/>
      <c r="F73" s="7"/>
      <c r="G73" s="7"/>
      <c r="H73" s="7"/>
      <c r="I73" s="7"/>
      <c r="J73" s="7"/>
      <c r="K73" s="7"/>
      <c r="L73" s="7"/>
      <c r="M73" s="76"/>
      <c r="N73" s="44"/>
    </row>
    <row r="74" spans="1:14">
      <c r="A74" s="44"/>
      <c r="B74" s="45"/>
      <c r="C74" s="7"/>
      <c r="D74" s="7"/>
      <c r="E74" s="7"/>
      <c r="F74" s="7"/>
      <c r="G74" s="7"/>
      <c r="H74" s="7"/>
      <c r="I74" s="7"/>
      <c r="J74" s="7"/>
      <c r="K74" s="7"/>
      <c r="L74" s="7"/>
      <c r="M74" s="76"/>
      <c r="N74" s="44"/>
    </row>
    <row r="75" spans="1:14">
      <c r="A75" s="44"/>
      <c r="B75" s="45"/>
      <c r="C75" s="7"/>
      <c r="D75" s="7"/>
      <c r="E75" s="7"/>
      <c r="F75" s="7"/>
      <c r="G75" s="7"/>
      <c r="H75" s="7"/>
      <c r="I75" s="7"/>
      <c r="J75" s="7"/>
      <c r="K75" s="7"/>
      <c r="L75" s="7"/>
      <c r="M75" s="76"/>
      <c r="N75" s="44"/>
    </row>
    <row r="76" spans="1:14">
      <c r="A76" s="44"/>
      <c r="B76" s="45"/>
      <c r="C76" s="7"/>
      <c r="D76" s="7"/>
      <c r="E76" s="7"/>
      <c r="F76" s="7"/>
      <c r="G76" s="7"/>
      <c r="H76" s="7"/>
      <c r="I76" s="7"/>
      <c r="J76" s="7"/>
      <c r="K76" s="7"/>
      <c r="L76" s="7"/>
      <c r="M76" s="76"/>
      <c r="N76" s="44"/>
    </row>
    <row r="77" spans="1:14">
      <c r="A77" s="44"/>
      <c r="B77" s="45"/>
      <c r="C77" s="7"/>
      <c r="D77" s="7"/>
      <c r="E77" s="7"/>
      <c r="F77" s="7"/>
      <c r="G77" s="7"/>
      <c r="H77" s="7"/>
      <c r="I77" s="7"/>
      <c r="J77" s="7"/>
      <c r="K77" s="7"/>
      <c r="L77" s="7"/>
      <c r="M77" s="76"/>
      <c r="N77" s="44"/>
    </row>
    <row r="78" spans="1:14">
      <c r="A78" s="44"/>
      <c r="B78" s="45"/>
      <c r="C78" s="7"/>
      <c r="D78" s="7"/>
      <c r="E78" s="7"/>
      <c r="F78" s="7"/>
      <c r="G78" s="7"/>
      <c r="H78" s="7"/>
      <c r="I78" s="7"/>
      <c r="J78" s="7"/>
      <c r="K78" s="7"/>
      <c r="L78" s="7"/>
      <c r="M78" s="76"/>
      <c r="N78" s="44"/>
    </row>
    <row r="79" spans="1:14">
      <c r="A79" s="44"/>
      <c r="B79" s="45"/>
      <c r="C79" s="6"/>
      <c r="D79" s="6"/>
      <c r="E79" s="6"/>
      <c r="F79" s="6"/>
      <c r="G79" s="6"/>
      <c r="H79" s="7"/>
      <c r="I79" s="7"/>
      <c r="J79" s="7"/>
      <c r="K79" s="7"/>
      <c r="L79" s="7"/>
      <c r="M79" s="76"/>
      <c r="N79" s="44"/>
    </row>
    <row r="80" spans="1:14">
      <c r="A80" s="44"/>
      <c r="B80" s="45"/>
      <c r="C80" s="6"/>
      <c r="D80" s="6"/>
      <c r="E80" s="6"/>
      <c r="F80" s="6"/>
      <c r="G80" s="6"/>
      <c r="H80" s="6"/>
      <c r="I80" s="6"/>
      <c r="J80" s="6"/>
      <c r="K80" s="6"/>
      <c r="L80" s="6"/>
      <c r="M80" s="76"/>
      <c r="N80" s="44"/>
    </row>
    <row r="81" spans="1:14">
      <c r="A81" s="44"/>
      <c r="B81" s="45"/>
      <c r="C81" s="6"/>
      <c r="D81" s="6"/>
      <c r="E81" s="6"/>
      <c r="F81" s="6"/>
      <c r="G81" s="6"/>
      <c r="H81" s="6"/>
      <c r="I81" s="6"/>
      <c r="J81" s="6"/>
      <c r="K81" s="6"/>
      <c r="L81" s="6"/>
      <c r="M81" s="76"/>
      <c r="N81" s="44"/>
    </row>
    <row r="82" spans="1:14">
      <c r="A82" s="44"/>
      <c r="B82" s="45"/>
      <c r="C82" s="6"/>
      <c r="D82" s="6"/>
      <c r="E82" s="6"/>
      <c r="F82" s="6"/>
      <c r="G82" s="6"/>
      <c r="H82" s="6"/>
      <c r="I82" s="6"/>
      <c r="J82" s="6"/>
      <c r="K82" s="6"/>
      <c r="L82" s="6"/>
      <c r="M82" s="76"/>
      <c r="N82" s="44"/>
    </row>
    <row r="83" spans="1:14" ht="12.75" customHeight="1">
      <c r="A83" s="44"/>
      <c r="B83" s="94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112"/>
      <c r="N83" s="44"/>
    </row>
    <row r="84" spans="1:14" ht="12.75" customHeight="1">
      <c r="A84" s="44"/>
      <c r="B84" s="61"/>
      <c r="C84" s="95"/>
      <c r="D84" s="95"/>
      <c r="E84" s="95"/>
      <c r="F84" s="95"/>
      <c r="G84" s="96"/>
      <c r="H84" s="61"/>
      <c r="I84" s="95"/>
      <c r="J84" s="95"/>
      <c r="K84" s="95"/>
      <c r="L84" s="95"/>
      <c r="M84" s="93"/>
      <c r="N84" s="44"/>
    </row>
    <row r="85" spans="1:14" ht="15" customHeight="1">
      <c r="A85" s="44"/>
      <c r="B85" s="47"/>
      <c r="C85" s="302" t="s">
        <v>171</v>
      </c>
      <c r="D85" s="303"/>
      <c r="E85" s="303"/>
      <c r="F85" s="304"/>
      <c r="G85" s="44"/>
      <c r="H85" s="47"/>
      <c r="I85" s="305" t="s">
        <v>172</v>
      </c>
      <c r="J85" s="305"/>
      <c r="K85" s="305"/>
      <c r="L85" s="305"/>
      <c r="M85" s="78"/>
      <c r="N85" s="44"/>
    </row>
    <row r="86" spans="1:14" ht="15" customHeight="1">
      <c r="A86" s="44"/>
      <c r="B86" s="47"/>
      <c r="C86" s="289" t="s">
        <v>173</v>
      </c>
      <c r="D86" s="290"/>
      <c r="E86" s="26" t="s">
        <v>24</v>
      </c>
      <c r="F86" s="27" t="s">
        <v>134</v>
      </c>
      <c r="G86" s="44"/>
      <c r="H86" s="47"/>
      <c r="I86" s="290" t="s">
        <v>174</v>
      </c>
      <c r="J86" s="288"/>
      <c r="K86" s="103" t="s">
        <v>175</v>
      </c>
      <c r="L86" s="113" t="s">
        <v>134</v>
      </c>
      <c r="M86" s="78"/>
      <c r="N86" s="44"/>
    </row>
    <row r="87" spans="1:14" ht="15" customHeight="1">
      <c r="A87" s="44"/>
      <c r="B87" s="47"/>
      <c r="C87" s="291" t="s">
        <v>176</v>
      </c>
      <c r="D87" s="292"/>
      <c r="E87" s="131">
        <f>Docentes!AR1</f>
        <v>0</v>
      </c>
      <c r="F87" s="98">
        <f>(E87*100)/H48</f>
        <v>0</v>
      </c>
      <c r="G87" s="44"/>
      <c r="H87" s="47"/>
      <c r="I87" s="293" t="s">
        <v>77</v>
      </c>
      <c r="J87" s="294"/>
      <c r="K87" s="114">
        <f>Docentes!$AF$1</f>
        <v>13</v>
      </c>
      <c r="L87" s="115">
        <f t="shared" ref="L87:L93" si="1">($K87*100)/$K$94</f>
        <v>15.476190476190476</v>
      </c>
      <c r="M87" s="78"/>
      <c r="N87" s="44"/>
    </row>
    <row r="88" spans="1:14" ht="15" customHeight="1">
      <c r="A88" s="44"/>
      <c r="B88" s="47"/>
      <c r="C88" s="295" t="s">
        <v>177</v>
      </c>
      <c r="D88" s="276"/>
      <c r="E88" s="99">
        <f>Docentes!AR2</f>
        <v>8</v>
      </c>
      <c r="F88" s="100">
        <f>(E88*100)/H48</f>
        <v>28.571428571428573</v>
      </c>
      <c r="G88" s="44"/>
      <c r="H88" s="47"/>
      <c r="I88" s="276" t="s">
        <v>89</v>
      </c>
      <c r="J88" s="277"/>
      <c r="K88" s="116">
        <f>Docentes!$AF$2</f>
        <v>7</v>
      </c>
      <c r="L88" s="117">
        <f t="shared" si="1"/>
        <v>8.3333333333333339</v>
      </c>
      <c r="M88" s="78"/>
      <c r="N88" s="44"/>
    </row>
    <row r="89" spans="1:14" ht="15" customHeight="1">
      <c r="A89" s="44"/>
      <c r="B89" s="47"/>
      <c r="C89" s="285" t="s">
        <v>178</v>
      </c>
      <c r="D89" s="286"/>
      <c r="E89" s="101">
        <f>Docentes!AR3</f>
        <v>20</v>
      </c>
      <c r="F89" s="102">
        <f>(E89*100)/H48</f>
        <v>71.428571428571431</v>
      </c>
      <c r="G89" s="44"/>
      <c r="H89" s="47"/>
      <c r="I89" s="276" t="s">
        <v>84</v>
      </c>
      <c r="J89" s="277"/>
      <c r="K89" s="116">
        <f>Docentes!$AF$3</f>
        <v>25</v>
      </c>
      <c r="L89" s="117">
        <f t="shared" si="1"/>
        <v>29.761904761904763</v>
      </c>
      <c r="M89" s="78"/>
      <c r="N89" s="44"/>
    </row>
    <row r="90" spans="1:14" ht="15" customHeight="1">
      <c r="A90" s="44"/>
      <c r="B90" s="45"/>
      <c r="C90" s="287" t="s">
        <v>138</v>
      </c>
      <c r="D90" s="288"/>
      <c r="E90" s="103">
        <f>SUM(E87:E89)</f>
        <v>28</v>
      </c>
      <c r="F90" s="104">
        <f>SUM(F87:F89)</f>
        <v>100</v>
      </c>
      <c r="G90" s="105"/>
      <c r="H90" s="47"/>
      <c r="I90" s="276" t="s">
        <v>93</v>
      </c>
      <c r="J90" s="277"/>
      <c r="K90" s="116">
        <f>Docentes!$AF$4</f>
        <v>8</v>
      </c>
      <c r="L90" s="117">
        <f t="shared" si="1"/>
        <v>9.5238095238095237</v>
      </c>
      <c r="M90" s="78"/>
      <c r="N90" s="44"/>
    </row>
    <row r="91" spans="1:14" ht="15" customHeight="1">
      <c r="A91" s="44"/>
      <c r="B91" s="47"/>
      <c r="C91" s="62"/>
      <c r="D91" s="106"/>
      <c r="E91" s="106"/>
      <c r="F91" s="106"/>
      <c r="G91" s="44"/>
      <c r="H91" s="47"/>
      <c r="I91" s="276" t="s">
        <v>85</v>
      </c>
      <c r="J91" s="277"/>
      <c r="K91" s="116">
        <f>Docentes!$AF$5</f>
        <v>15</v>
      </c>
      <c r="L91" s="117">
        <f t="shared" si="1"/>
        <v>17.857142857142858</v>
      </c>
      <c r="M91" s="78"/>
      <c r="N91" s="44"/>
    </row>
    <row r="92" spans="1:14" ht="15" customHeight="1">
      <c r="A92" s="44"/>
      <c r="B92" s="47"/>
      <c r="C92" s="107"/>
      <c r="D92" s="107"/>
      <c r="E92" s="107"/>
      <c r="F92" s="107"/>
      <c r="G92" s="44"/>
      <c r="H92" s="47"/>
      <c r="I92" s="276" t="s">
        <v>86</v>
      </c>
      <c r="J92" s="277"/>
      <c r="K92" s="116">
        <f>Docentes!$AF$6</f>
        <v>14</v>
      </c>
      <c r="L92" s="117">
        <f t="shared" si="1"/>
        <v>16.666666666666668</v>
      </c>
      <c r="M92" s="78"/>
      <c r="N92" s="44"/>
    </row>
    <row r="93" spans="1:14" ht="15" customHeight="1">
      <c r="A93" s="44"/>
      <c r="B93" s="47"/>
      <c r="C93" s="107"/>
      <c r="D93" s="107"/>
      <c r="E93" s="107"/>
      <c r="F93" s="107"/>
      <c r="G93" s="44"/>
      <c r="H93" s="47"/>
      <c r="I93" s="278" t="s">
        <v>101</v>
      </c>
      <c r="J93" s="279"/>
      <c r="K93" s="118">
        <f>Docentes!$AF$7</f>
        <v>2</v>
      </c>
      <c r="L93" s="119">
        <f t="shared" si="1"/>
        <v>2.3809523809523809</v>
      </c>
      <c r="M93" s="78"/>
      <c r="N93" s="44"/>
    </row>
    <row r="94" spans="1:14" ht="15" customHeight="1">
      <c r="A94" s="44"/>
      <c r="B94" s="47"/>
      <c r="C94" s="107"/>
      <c r="D94" s="107"/>
      <c r="E94" s="107"/>
      <c r="F94" s="107"/>
      <c r="G94" s="108"/>
      <c r="H94" s="47"/>
      <c r="I94" s="280" t="s">
        <v>138</v>
      </c>
      <c r="J94" s="281"/>
      <c r="K94" s="120">
        <f>SUM(K87:K93)</f>
        <v>84</v>
      </c>
      <c r="L94" s="121">
        <f>SUM(L87:L93)</f>
        <v>100</v>
      </c>
      <c r="M94" s="78"/>
      <c r="N94" s="44"/>
    </row>
    <row r="95" spans="1:14" ht="32.65" customHeight="1">
      <c r="A95" s="44"/>
      <c r="B95" s="47"/>
      <c r="C95" s="107"/>
      <c r="D95" s="107"/>
      <c r="E95" s="107"/>
      <c r="F95" s="107"/>
      <c r="G95" s="44"/>
      <c r="H95" s="45"/>
      <c r="I95" s="4"/>
      <c r="J95" s="4"/>
      <c r="K95" s="4"/>
      <c r="L95" s="4"/>
      <c r="M95" s="76"/>
      <c r="N95" s="44"/>
    </row>
    <row r="96" spans="1:14" ht="32.65" customHeight="1">
      <c r="A96" s="44"/>
      <c r="B96" s="47"/>
      <c r="C96" s="107"/>
      <c r="D96" s="107"/>
      <c r="E96" s="107"/>
      <c r="F96" s="107"/>
      <c r="G96" s="44"/>
      <c r="H96" s="45"/>
      <c r="I96" s="6"/>
      <c r="J96" s="6"/>
      <c r="K96" s="6"/>
      <c r="L96" s="6"/>
      <c r="M96" s="76"/>
      <c r="N96" s="44"/>
    </row>
    <row r="97" spans="1:14" ht="32.65" customHeight="1">
      <c r="A97" s="44"/>
      <c r="B97" s="47"/>
      <c r="C97" s="107"/>
      <c r="D97" s="107"/>
      <c r="E97" s="107"/>
      <c r="F97" s="107"/>
      <c r="G97" s="44"/>
      <c r="H97" s="45"/>
      <c r="I97" s="6"/>
      <c r="J97" s="6"/>
      <c r="K97" s="6"/>
      <c r="L97" s="6"/>
      <c r="M97" s="76"/>
      <c r="N97" s="44"/>
    </row>
    <row r="98" spans="1:14" ht="32.65" customHeight="1">
      <c r="A98" s="44"/>
      <c r="B98" s="47"/>
      <c r="C98" s="107"/>
      <c r="D98" s="107"/>
      <c r="E98" s="107"/>
      <c r="F98" s="107"/>
      <c r="G98" s="44"/>
      <c r="H98" s="45"/>
      <c r="I98" s="6"/>
      <c r="J98" s="6"/>
      <c r="K98" s="6"/>
      <c r="L98" s="6"/>
      <c r="M98" s="76"/>
      <c r="N98" s="44"/>
    </row>
    <row r="99" spans="1:14" ht="32.65" customHeight="1">
      <c r="A99" s="44"/>
      <c r="B99" s="47"/>
      <c r="C99" s="107"/>
      <c r="D99" s="107"/>
      <c r="E99" s="107"/>
      <c r="F99" s="107"/>
      <c r="G99" s="44"/>
      <c r="H99" s="45"/>
      <c r="I99" s="6"/>
      <c r="J99" s="6"/>
      <c r="K99" s="6"/>
      <c r="L99" s="6"/>
      <c r="M99" s="76"/>
      <c r="N99" s="44"/>
    </row>
    <row r="100" spans="1:14" ht="32.65" customHeight="1">
      <c r="A100" s="44"/>
      <c r="B100" s="109"/>
      <c r="C100" s="110"/>
      <c r="D100" s="110"/>
      <c r="E100" s="110"/>
      <c r="F100" s="110"/>
      <c r="G100" s="111"/>
      <c r="H100" s="109"/>
      <c r="I100" s="110"/>
      <c r="J100" s="110"/>
      <c r="K100" s="110"/>
      <c r="L100" s="110"/>
      <c r="M100" s="122"/>
      <c r="N100" s="44"/>
    </row>
    <row r="101" spans="1:14" ht="5.45" customHeight="1">
      <c r="A101" s="132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4"/>
    </row>
  </sheetData>
  <mergeCells count="62">
    <mergeCell ref="E1:L1"/>
    <mergeCell ref="E2:L2"/>
    <mergeCell ref="E3:L3"/>
    <mergeCell ref="E4:L4"/>
    <mergeCell ref="C9:L9"/>
    <mergeCell ref="C1:D4"/>
    <mergeCell ref="C11:H11"/>
    <mergeCell ref="J11:L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C24:F24"/>
    <mergeCell ref="C25:F25"/>
    <mergeCell ref="C28:L28"/>
    <mergeCell ref="C29:L29"/>
    <mergeCell ref="C30:L30"/>
    <mergeCell ref="C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C58:L58"/>
    <mergeCell ref="C85:F85"/>
    <mergeCell ref="I85:L85"/>
    <mergeCell ref="I92:J92"/>
    <mergeCell ref="I93:J93"/>
    <mergeCell ref="I94:J94"/>
    <mergeCell ref="C33:C43"/>
    <mergeCell ref="C44:C47"/>
    <mergeCell ref="C89:D89"/>
    <mergeCell ref="I89:J89"/>
    <mergeCell ref="C90:D90"/>
    <mergeCell ref="I90:J90"/>
    <mergeCell ref="I91:J91"/>
    <mergeCell ref="C86:D86"/>
    <mergeCell ref="I86:J86"/>
    <mergeCell ref="C87:D87"/>
    <mergeCell ref="I87:J87"/>
    <mergeCell ref="C88:D88"/>
    <mergeCell ref="I88:J88"/>
  </mergeCells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" right="0.196850393700787" top="0.39370078740157499" bottom="0.78740157480314998" header="0" footer="0.59055118110236204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F6 K22:K25 K13:K15" emptyCellReference="1"/>
    <ignoredError sqref="H25 L22:L25 L13:L15" evalError="1" emptyCellReference="1"/>
    <ignoredError sqref="L87:L94 K40:K46 K37 L41:L42 K47:L48 K33:L36 K38:L39 F87:F90 H13:H24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view="pageBreakPreview" zoomScaleNormal="85" workbookViewId="0">
      <selection activeCell="E3" sqref="E3:L3"/>
    </sheetView>
  </sheetViews>
  <sheetFormatPr baseColWidth="10" defaultColWidth="0" defaultRowHeight="11.25" zeroHeight="1"/>
  <cols>
    <col min="1" max="2" width="0.85546875" style="2" customWidth="1"/>
    <col min="3" max="3" width="1.7109375" style="2" customWidth="1"/>
    <col min="4" max="12" width="10.7109375" style="2" customWidth="1"/>
    <col min="13" max="14" width="1" style="2" customWidth="1"/>
    <col min="15" max="15" width="1" style="2" hidden="1" customWidth="1"/>
    <col min="16" max="16384" width="11.5703125" style="2" hidden="1"/>
  </cols>
  <sheetData>
    <row r="1" spans="1:14">
      <c r="A1" s="3"/>
      <c r="B1" s="4"/>
      <c r="C1" s="333"/>
      <c r="D1" s="333"/>
      <c r="E1" s="332" t="s">
        <v>126</v>
      </c>
      <c r="F1" s="332"/>
      <c r="G1" s="332"/>
      <c r="H1" s="332"/>
      <c r="I1" s="332"/>
      <c r="J1" s="332"/>
      <c r="K1" s="332"/>
      <c r="L1" s="332"/>
      <c r="M1" s="4"/>
      <c r="N1" s="63"/>
    </row>
    <row r="2" spans="1:14" s="1" customFormat="1" ht="13.5" customHeight="1">
      <c r="A2" s="5"/>
      <c r="B2" s="6"/>
      <c r="C2" s="334"/>
      <c r="D2" s="334"/>
      <c r="E2" s="328" t="s">
        <v>127</v>
      </c>
      <c r="F2" s="328"/>
      <c r="G2" s="328"/>
      <c r="H2" s="328"/>
      <c r="I2" s="328"/>
      <c r="J2" s="328"/>
      <c r="K2" s="328"/>
      <c r="L2" s="328"/>
      <c r="M2" s="7"/>
      <c r="N2" s="64"/>
    </row>
    <row r="3" spans="1:14" s="1" customFormat="1" ht="13.5" customHeight="1">
      <c r="A3" s="5"/>
      <c r="B3" s="6"/>
      <c r="C3" s="334"/>
      <c r="D3" s="334"/>
      <c r="E3" s="328" t="s">
        <v>179</v>
      </c>
      <c r="F3" s="328"/>
      <c r="G3" s="328"/>
      <c r="H3" s="328"/>
      <c r="I3" s="328"/>
      <c r="J3" s="328"/>
      <c r="K3" s="328"/>
      <c r="L3" s="328"/>
      <c r="M3" s="7"/>
      <c r="N3" s="64"/>
    </row>
    <row r="4" spans="1:14" s="1" customFormat="1" ht="13.5" customHeight="1">
      <c r="A4" s="5"/>
      <c r="B4" s="6"/>
      <c r="C4" s="334"/>
      <c r="D4" s="334"/>
      <c r="E4" s="328" t="s">
        <v>129</v>
      </c>
      <c r="F4" s="328"/>
      <c r="G4" s="328"/>
      <c r="H4" s="328"/>
      <c r="I4" s="328"/>
      <c r="J4" s="328"/>
      <c r="K4" s="328"/>
      <c r="L4" s="328"/>
      <c r="M4" s="7"/>
      <c r="N4" s="64"/>
    </row>
    <row r="5" spans="1:14" s="1" customFormat="1" ht="12.75" customHeight="1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4"/>
    </row>
    <row r="6" spans="1:14" s="1" customFormat="1">
      <c r="A6" s="5"/>
      <c r="B6" s="8" t="s">
        <v>130</v>
      </c>
      <c r="C6" s="7"/>
      <c r="D6" s="7"/>
      <c r="E6" s="7"/>
      <c r="F6" s="9" t="str">
        <f>Directivos!B15</f>
        <v>NORTE DE SANTANDER</v>
      </c>
      <c r="G6" s="7"/>
      <c r="H6" s="7"/>
      <c r="I6" s="7"/>
      <c r="J6" s="7"/>
      <c r="K6" s="7"/>
      <c r="L6" s="7"/>
      <c r="M6" s="7"/>
      <c r="N6" s="64"/>
    </row>
    <row r="7" spans="1:14" s="1" customFormat="1" ht="9" customHeight="1">
      <c r="A7" s="5"/>
      <c r="B7" s="10"/>
      <c r="C7" s="10"/>
      <c r="D7" s="10"/>
      <c r="E7" s="10"/>
      <c r="F7" s="10"/>
      <c r="G7" s="10"/>
      <c r="H7" s="10"/>
      <c r="I7" s="65"/>
      <c r="J7" s="10"/>
      <c r="K7" s="10"/>
      <c r="L7" s="10"/>
      <c r="M7" s="10"/>
      <c r="N7" s="64"/>
    </row>
    <row r="8" spans="1:14" s="1" customFormat="1" ht="12.75" customHeight="1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66"/>
      <c r="N8" s="11"/>
    </row>
    <row r="9" spans="1:14" s="1" customFormat="1">
      <c r="A9" s="11"/>
      <c r="B9" s="14"/>
      <c r="C9" s="328" t="s">
        <v>180</v>
      </c>
      <c r="D9" s="328"/>
      <c r="E9" s="328"/>
      <c r="F9" s="328"/>
      <c r="G9" s="328"/>
      <c r="H9" s="328"/>
      <c r="I9" s="328"/>
      <c r="J9" s="328"/>
      <c r="K9" s="328"/>
      <c r="L9" s="328"/>
      <c r="M9" s="67"/>
      <c r="N9" s="11"/>
    </row>
    <row r="10" spans="1:14" s="1" customFormat="1">
      <c r="A10" s="11"/>
      <c r="B10" s="14"/>
      <c r="C10" s="15"/>
      <c r="D10" s="16"/>
      <c r="E10" s="7"/>
      <c r="F10" s="7"/>
      <c r="G10" s="7"/>
      <c r="H10" s="7"/>
      <c r="I10" s="7"/>
      <c r="J10" s="7"/>
      <c r="K10" s="7"/>
      <c r="L10" s="7"/>
      <c r="M10" s="68"/>
      <c r="N10" s="11"/>
    </row>
    <row r="11" spans="1:14" s="1" customFormat="1" ht="12.75" customHeight="1">
      <c r="A11" s="11"/>
      <c r="B11" s="17"/>
      <c r="C11" s="18"/>
      <c r="D11" s="19"/>
      <c r="E11" s="19"/>
      <c r="F11" s="19"/>
      <c r="G11" s="19"/>
      <c r="H11" s="19"/>
      <c r="I11" s="69"/>
      <c r="J11" s="19"/>
      <c r="K11" s="19"/>
      <c r="L11" s="19"/>
      <c r="M11" s="68"/>
      <c r="N11" s="11"/>
    </row>
    <row r="12" spans="1:14" s="1" customFormat="1" ht="12.75" customHeight="1">
      <c r="A12" s="11"/>
      <c r="B12" s="17"/>
      <c r="C12" s="18"/>
      <c r="D12" s="19"/>
      <c r="E12" s="19"/>
      <c r="F12" s="19"/>
      <c r="G12" s="19"/>
      <c r="H12" s="20"/>
      <c r="I12" s="69"/>
      <c r="J12" s="19"/>
      <c r="K12" s="19"/>
      <c r="L12" s="20"/>
      <c r="M12" s="68"/>
      <c r="N12" s="11"/>
    </row>
    <row r="13" spans="1:14" s="1" customFormat="1" ht="12.75" customHeight="1">
      <c r="A13" s="11"/>
      <c r="B13" s="17"/>
      <c r="C13" s="21"/>
      <c r="D13" s="22"/>
      <c r="E13" s="22"/>
      <c r="F13" s="22"/>
      <c r="G13" s="22"/>
      <c r="H13" s="23"/>
      <c r="I13" s="24"/>
      <c r="J13" s="22"/>
      <c r="K13" s="22"/>
      <c r="L13" s="23"/>
      <c r="M13" s="68"/>
      <c r="N13" s="11"/>
    </row>
    <row r="14" spans="1:14" s="1" customFormat="1" ht="12.75" customHeight="1">
      <c r="A14" s="11"/>
      <c r="B14" s="17"/>
      <c r="C14" s="21"/>
      <c r="D14" s="20"/>
      <c r="E14" s="335" t="s">
        <v>133</v>
      </c>
      <c r="F14" s="336"/>
      <c r="G14" s="337"/>
      <c r="H14" s="24"/>
      <c r="I14" s="335" t="s">
        <v>133</v>
      </c>
      <c r="J14" s="336"/>
      <c r="K14" s="337"/>
      <c r="L14" s="23"/>
      <c r="M14" s="68"/>
      <c r="N14" s="11"/>
    </row>
    <row r="15" spans="1:14" s="1" customFormat="1" ht="12.75" customHeight="1">
      <c r="A15" s="11"/>
      <c r="B15" s="17"/>
      <c r="C15" s="21"/>
      <c r="D15" s="7"/>
      <c r="E15" s="25" t="s">
        <v>34</v>
      </c>
      <c r="F15" s="26" t="s">
        <v>24</v>
      </c>
      <c r="G15" s="27" t="s">
        <v>134</v>
      </c>
      <c r="H15" s="24"/>
      <c r="I15" s="25" t="s">
        <v>34</v>
      </c>
      <c r="J15" s="26" t="s">
        <v>24</v>
      </c>
      <c r="K15" s="27" t="s">
        <v>134</v>
      </c>
      <c r="L15" s="70"/>
      <c r="M15" s="68"/>
      <c r="N15" s="11"/>
    </row>
    <row r="16" spans="1:14" s="1" customFormat="1" ht="12.75" customHeight="1">
      <c r="A16" s="11"/>
      <c r="B16" s="17"/>
      <c r="C16" s="21"/>
      <c r="D16" s="7"/>
      <c r="E16" s="28" t="s">
        <v>109</v>
      </c>
      <c r="F16" s="29">
        <f>Directivos!J1</f>
        <v>1</v>
      </c>
      <c r="G16" s="30">
        <f>(F16*100)/F19</f>
        <v>100</v>
      </c>
      <c r="H16" s="31"/>
      <c r="I16" s="28" t="s">
        <v>75</v>
      </c>
      <c r="J16" s="29">
        <f>Directivos!I1</f>
        <v>0</v>
      </c>
      <c r="K16" s="30">
        <f>(J16*100)/J18</f>
        <v>0</v>
      </c>
      <c r="L16" s="70"/>
      <c r="M16" s="68"/>
      <c r="N16" s="11"/>
    </row>
    <row r="17" spans="1:14" s="1" customFormat="1" ht="12.75" customHeight="1">
      <c r="A17" s="11"/>
      <c r="B17" s="17"/>
      <c r="C17" s="21"/>
      <c r="D17" s="7"/>
      <c r="E17" s="32" t="s">
        <v>125</v>
      </c>
      <c r="F17" s="33">
        <f>Directivos!J2</f>
        <v>0</v>
      </c>
      <c r="G17" s="34">
        <f>(F17*100)/F19</f>
        <v>0</v>
      </c>
      <c r="H17" s="31"/>
      <c r="I17" s="35" t="s">
        <v>82</v>
      </c>
      <c r="J17" s="71">
        <f>Directivos!I2</f>
        <v>1</v>
      </c>
      <c r="K17" s="72">
        <f>(J17*100)/J18</f>
        <v>100</v>
      </c>
      <c r="L17" s="70"/>
      <c r="M17" s="68"/>
      <c r="N17" s="11"/>
    </row>
    <row r="18" spans="1:14" s="1" customFormat="1" ht="12.75" customHeight="1">
      <c r="A18" s="11"/>
      <c r="B18" s="17"/>
      <c r="C18" s="21"/>
      <c r="D18" s="7"/>
      <c r="E18" s="35" t="s">
        <v>111</v>
      </c>
      <c r="F18" s="36">
        <f>Directivos!J3</f>
        <v>0</v>
      </c>
      <c r="G18" s="37">
        <f>(F18*100)/F19</f>
        <v>0</v>
      </c>
      <c r="H18" s="31"/>
      <c r="I18" s="25" t="s">
        <v>138</v>
      </c>
      <c r="J18" s="26">
        <f>SUM(J16:J17)</f>
        <v>1</v>
      </c>
      <c r="K18" s="38">
        <f>SUM(K16:K17)</f>
        <v>100</v>
      </c>
      <c r="L18" s="19"/>
      <c r="M18" s="68"/>
      <c r="N18" s="11"/>
    </row>
    <row r="19" spans="1:14" s="1" customFormat="1" ht="12.75" customHeight="1">
      <c r="A19" s="11"/>
      <c r="B19" s="17"/>
      <c r="C19" s="21"/>
      <c r="D19" s="7"/>
      <c r="E19" s="25" t="s">
        <v>138</v>
      </c>
      <c r="F19" s="26">
        <f>SUM(F16:F18)</f>
        <v>1</v>
      </c>
      <c r="G19" s="38">
        <f>SUM(G16:G18)</f>
        <v>100</v>
      </c>
      <c r="H19" s="24"/>
      <c r="I19" s="310"/>
      <c r="J19" s="310"/>
      <c r="K19" s="73"/>
      <c r="L19" s="20"/>
      <c r="M19" s="68"/>
      <c r="N19" s="11"/>
    </row>
    <row r="20" spans="1:14" s="1" customFormat="1" ht="12.75" customHeight="1">
      <c r="A20" s="11"/>
      <c r="B20" s="17"/>
      <c r="C20" s="21"/>
      <c r="D20" s="7"/>
      <c r="E20" s="39"/>
      <c r="F20" s="40"/>
      <c r="G20" s="40"/>
      <c r="H20" s="40"/>
      <c r="I20" s="40"/>
      <c r="J20" s="40"/>
      <c r="K20" s="74"/>
      <c r="L20" s="23"/>
      <c r="M20" s="68"/>
      <c r="N20" s="11"/>
    </row>
    <row r="21" spans="1:14" s="1" customFormat="1" ht="12.75" customHeight="1">
      <c r="A21" s="11"/>
      <c r="B21" s="17"/>
      <c r="C21" s="21"/>
      <c r="D21" s="41"/>
      <c r="E21" s="41"/>
      <c r="F21" s="41"/>
      <c r="G21" s="41"/>
      <c r="H21" s="41"/>
      <c r="I21" s="40"/>
      <c r="J21" s="40"/>
      <c r="K21" s="40"/>
      <c r="L21" s="23"/>
      <c r="M21" s="68"/>
      <c r="N21" s="11"/>
    </row>
    <row r="22" spans="1:14" s="1" customFormat="1" ht="12.75" customHeight="1">
      <c r="A22" s="11"/>
      <c r="B22" s="17"/>
      <c r="C22" s="21"/>
      <c r="D22" s="22"/>
      <c r="E22" s="22"/>
      <c r="F22" s="22"/>
      <c r="G22" s="22"/>
      <c r="H22" s="23"/>
      <c r="I22" s="24"/>
      <c r="J22" s="22"/>
      <c r="K22" s="22"/>
      <c r="L22" s="23"/>
      <c r="M22" s="68"/>
      <c r="N22" s="11"/>
    </row>
    <row r="23" spans="1:14" s="1" customFormat="1" ht="12.75" customHeight="1">
      <c r="A23" s="11"/>
      <c r="B23" s="17"/>
      <c r="C23" s="18"/>
      <c r="D23" s="19"/>
      <c r="E23" s="19"/>
      <c r="F23" s="19"/>
      <c r="G23" s="19"/>
      <c r="H23" s="20"/>
      <c r="I23" s="69"/>
      <c r="J23" s="19"/>
      <c r="K23" s="19"/>
      <c r="L23" s="20"/>
      <c r="M23" s="68"/>
      <c r="N23" s="11"/>
    </row>
    <row r="24" spans="1:14" s="1" customFormat="1" ht="12.75" customHeight="1">
      <c r="A24" s="1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75"/>
      <c r="N24" s="11"/>
    </row>
    <row r="25" spans="1:14" s="1" customFormat="1" ht="6.75" customHeight="1">
      <c r="A25" s="11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66"/>
      <c r="N25" s="11"/>
    </row>
    <row r="26" spans="1:14" s="1" customFormat="1" ht="15" customHeight="1">
      <c r="A26" s="11"/>
      <c r="B26" s="14"/>
      <c r="C26" s="328" t="s">
        <v>181</v>
      </c>
      <c r="D26" s="328"/>
      <c r="E26" s="328"/>
      <c r="F26" s="328"/>
      <c r="G26" s="328"/>
      <c r="H26" s="328"/>
      <c r="I26" s="328"/>
      <c r="J26" s="328"/>
      <c r="K26" s="328"/>
      <c r="L26" s="328"/>
      <c r="M26" s="67"/>
      <c r="N26" s="11"/>
    </row>
    <row r="27" spans="1:14" s="1" customFormat="1" ht="15" customHeight="1">
      <c r="A27" s="11"/>
      <c r="B27" s="14"/>
      <c r="C27" s="329" t="s">
        <v>148</v>
      </c>
      <c r="D27" s="329"/>
      <c r="E27" s="329"/>
      <c r="F27" s="329"/>
      <c r="G27" s="329"/>
      <c r="H27" s="329"/>
      <c r="I27" s="329"/>
      <c r="J27" s="329"/>
      <c r="K27" s="329"/>
      <c r="L27" s="329"/>
      <c r="M27" s="67"/>
      <c r="N27" s="11"/>
    </row>
    <row r="28" spans="1:14" s="1" customFormat="1" ht="15" customHeight="1">
      <c r="A28" s="11"/>
      <c r="B28" s="14"/>
      <c r="C28" s="329" t="s">
        <v>149</v>
      </c>
      <c r="D28" s="329"/>
      <c r="E28" s="329"/>
      <c r="F28" s="329"/>
      <c r="G28" s="329"/>
      <c r="H28" s="329"/>
      <c r="I28" s="329"/>
      <c r="J28" s="329"/>
      <c r="K28" s="329"/>
      <c r="L28" s="329"/>
      <c r="M28" s="67"/>
      <c r="N28" s="11"/>
    </row>
    <row r="29" spans="1:14" ht="9" customHeight="1">
      <c r="A29" s="44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76"/>
      <c r="N29" s="44"/>
    </row>
    <row r="30" spans="1:14" ht="25.5" customHeight="1">
      <c r="A30" s="44"/>
      <c r="B30" s="47"/>
      <c r="C30" s="321" t="s">
        <v>150</v>
      </c>
      <c r="D30" s="321"/>
      <c r="E30" s="322"/>
      <c r="F30" s="322"/>
      <c r="G30" s="323"/>
      <c r="H30" s="48" t="s">
        <v>151</v>
      </c>
      <c r="I30" s="48" t="s">
        <v>152</v>
      </c>
      <c r="J30" s="48" t="s">
        <v>153</v>
      </c>
      <c r="K30" s="48" t="s">
        <v>154</v>
      </c>
      <c r="L30" s="77" t="s">
        <v>155</v>
      </c>
      <c r="M30" s="78"/>
      <c r="N30" s="44"/>
    </row>
    <row r="31" spans="1:14" ht="16.899999999999999" customHeight="1">
      <c r="A31" s="44"/>
      <c r="B31" s="47"/>
      <c r="C31" s="282" t="s">
        <v>156</v>
      </c>
      <c r="D31" s="309" t="s">
        <v>182</v>
      </c>
      <c r="E31" s="310"/>
      <c r="F31" s="310"/>
      <c r="G31" s="311"/>
      <c r="H31" s="49">
        <f>Directivos!$O$1</f>
        <v>1</v>
      </c>
      <c r="I31" s="79">
        <f>Directivos!$O$4</f>
        <v>93</v>
      </c>
      <c r="J31" s="79">
        <f>Directivos!$O$5</f>
        <v>93</v>
      </c>
      <c r="K31" s="79">
        <f>Directivos!$O$2</f>
        <v>93</v>
      </c>
      <c r="L31" s="80" t="b">
        <f>Directivos!$O$3</f>
        <v>0</v>
      </c>
      <c r="M31" s="78"/>
      <c r="N31" s="44"/>
    </row>
    <row r="32" spans="1:14" ht="16.899999999999999" customHeight="1">
      <c r="A32" s="44"/>
      <c r="B32" s="47"/>
      <c r="C32" s="283"/>
      <c r="D32" s="306" t="s">
        <v>119</v>
      </c>
      <c r="E32" s="307"/>
      <c r="F32" s="307"/>
      <c r="G32" s="308"/>
      <c r="H32" s="50">
        <f>Directivos!$P$1</f>
        <v>1</v>
      </c>
      <c r="I32" s="81">
        <f>Directivos!$P$4</f>
        <v>94</v>
      </c>
      <c r="J32" s="81">
        <f>Directivos!$P$5</f>
        <v>94</v>
      </c>
      <c r="K32" s="81">
        <f>Directivos!$P$2</f>
        <v>94</v>
      </c>
      <c r="L32" s="82" t="b">
        <f>Directivos!$P$3</f>
        <v>0</v>
      </c>
      <c r="M32" s="78"/>
      <c r="N32" s="44"/>
    </row>
    <row r="33" spans="1:14" ht="16.899999999999999" customHeight="1">
      <c r="A33" s="44"/>
      <c r="B33" s="47"/>
      <c r="C33" s="283"/>
      <c r="D33" s="315" t="s">
        <v>183</v>
      </c>
      <c r="E33" s="316"/>
      <c r="F33" s="316"/>
      <c r="G33" s="317"/>
      <c r="H33" s="51">
        <f>Directivos!$R$1</f>
        <v>1</v>
      </c>
      <c r="I33" s="83">
        <f>Directivos!$R$4</f>
        <v>93.5</v>
      </c>
      <c r="J33" s="83">
        <f>Directivos!$R$5</f>
        <v>93.5</v>
      </c>
      <c r="K33" s="83">
        <f>Directivos!$R$2</f>
        <v>93.5</v>
      </c>
      <c r="L33" s="84" t="b">
        <f>Directivos!$R$3</f>
        <v>0</v>
      </c>
      <c r="M33" s="78"/>
      <c r="N33" s="44"/>
    </row>
    <row r="34" spans="1:14" ht="16.899999999999999" customHeight="1">
      <c r="A34" s="44"/>
      <c r="B34" s="47"/>
      <c r="C34" s="283"/>
      <c r="D34" s="318" t="s">
        <v>50</v>
      </c>
      <c r="E34" s="319"/>
      <c r="F34" s="319"/>
      <c r="G34" s="320"/>
      <c r="H34" s="52">
        <f>Directivos!$T$1</f>
        <v>1</v>
      </c>
      <c r="I34" s="85">
        <f>Directivos!$T$4</f>
        <v>94</v>
      </c>
      <c r="J34" s="85">
        <f>Directivos!$T$5</f>
        <v>94</v>
      </c>
      <c r="K34" s="85">
        <f>Directivos!$T$2</f>
        <v>94</v>
      </c>
      <c r="L34" s="86" t="b">
        <f>Directivos!$T$3</f>
        <v>0</v>
      </c>
      <c r="M34" s="78"/>
      <c r="N34" s="44"/>
    </row>
    <row r="35" spans="1:14" ht="16.899999999999999" customHeight="1">
      <c r="A35" s="44"/>
      <c r="B35" s="47"/>
      <c r="C35" s="283"/>
      <c r="D35" s="306" t="s">
        <v>184</v>
      </c>
      <c r="E35" s="307"/>
      <c r="F35" s="307"/>
      <c r="G35" s="308"/>
      <c r="H35" s="50">
        <f>Directivos!$U$1</f>
        <v>1</v>
      </c>
      <c r="I35" s="81">
        <f>Directivos!$U$4</f>
        <v>95</v>
      </c>
      <c r="J35" s="81">
        <f>Directivos!$U$5</f>
        <v>95</v>
      </c>
      <c r="K35" s="81">
        <f>Directivos!$U$2</f>
        <v>95</v>
      </c>
      <c r="L35" s="82" t="b">
        <f>Directivos!$U$3</f>
        <v>0</v>
      </c>
      <c r="M35" s="78"/>
      <c r="N35" s="44"/>
    </row>
    <row r="36" spans="1:14" ht="16.899999999999999" customHeight="1">
      <c r="A36" s="44"/>
      <c r="B36" s="47"/>
      <c r="C36" s="283"/>
      <c r="D36" s="315" t="s">
        <v>158</v>
      </c>
      <c r="E36" s="316"/>
      <c r="F36" s="316"/>
      <c r="G36" s="317"/>
      <c r="H36" s="51">
        <f>Directivos!$W$1</f>
        <v>1</v>
      </c>
      <c r="I36" s="83">
        <f>Directivos!$W$4</f>
        <v>94.5</v>
      </c>
      <c r="J36" s="83">
        <f>Directivos!$W$5</f>
        <v>94.5</v>
      </c>
      <c r="K36" s="83">
        <f>Directivos!$W$2</f>
        <v>94.5</v>
      </c>
      <c r="L36" s="84" t="b">
        <f>Directivos!$W$3</f>
        <v>0</v>
      </c>
      <c r="M36" s="78"/>
      <c r="N36" s="44"/>
    </row>
    <row r="37" spans="1:14" ht="16.899999999999999" customHeight="1">
      <c r="A37" s="44"/>
      <c r="B37" s="47"/>
      <c r="C37" s="283"/>
      <c r="D37" s="318" t="s">
        <v>123</v>
      </c>
      <c r="E37" s="319"/>
      <c r="F37" s="319"/>
      <c r="G37" s="320"/>
      <c r="H37" s="52">
        <f>Directivos!$Y$1</f>
        <v>1</v>
      </c>
      <c r="I37" s="85">
        <f>Directivos!$Y$4</f>
        <v>94</v>
      </c>
      <c r="J37" s="85">
        <f>Directivos!$Y$5</f>
        <v>94</v>
      </c>
      <c r="K37" s="85">
        <f>Directivos!$Y$2</f>
        <v>94</v>
      </c>
      <c r="L37" s="86" t="b">
        <f>Directivos!$Y$3</f>
        <v>0</v>
      </c>
      <c r="M37" s="78"/>
      <c r="N37" s="44"/>
    </row>
    <row r="38" spans="1:14" ht="16.899999999999999" customHeight="1">
      <c r="A38" s="44"/>
      <c r="B38" s="47"/>
      <c r="C38" s="283"/>
      <c r="D38" s="306" t="s">
        <v>124</v>
      </c>
      <c r="E38" s="307"/>
      <c r="F38" s="307"/>
      <c r="G38" s="308"/>
      <c r="H38" s="50">
        <f>Directivos!$Z$1</f>
        <v>1</v>
      </c>
      <c r="I38" s="81">
        <f>Directivos!$Z$4</f>
        <v>93</v>
      </c>
      <c r="J38" s="81">
        <f>Directivos!$Z$5</f>
        <v>93</v>
      </c>
      <c r="K38" s="81">
        <f>Directivos!$Z$2</f>
        <v>93</v>
      </c>
      <c r="L38" s="82" t="b">
        <f>Directivos!$Z$3</f>
        <v>0</v>
      </c>
      <c r="M38" s="78"/>
      <c r="N38" s="44"/>
    </row>
    <row r="39" spans="1:14" ht="16.899999999999999" customHeight="1">
      <c r="A39" s="44"/>
      <c r="B39" s="47"/>
      <c r="C39" s="283"/>
      <c r="D39" s="315" t="s">
        <v>159</v>
      </c>
      <c r="E39" s="316"/>
      <c r="F39" s="316"/>
      <c r="G39" s="317"/>
      <c r="H39" s="51">
        <f>Directivos!$AB$1</f>
        <v>1</v>
      </c>
      <c r="I39" s="83">
        <f>Directivos!$AB$4</f>
        <v>93.5</v>
      </c>
      <c r="J39" s="83">
        <f>Directivos!$AB$5</f>
        <v>93.5</v>
      </c>
      <c r="K39" s="83">
        <f>Directivos!$AB$2</f>
        <v>93.5</v>
      </c>
      <c r="L39" s="84" t="b">
        <f>Directivos!$AB$3</f>
        <v>0</v>
      </c>
      <c r="M39" s="78"/>
      <c r="N39" s="44"/>
    </row>
    <row r="40" spans="1:14" ht="16.899999999999999" customHeight="1">
      <c r="A40" s="44"/>
      <c r="B40" s="47"/>
      <c r="C40" s="283"/>
      <c r="D40" s="318" t="s">
        <v>58</v>
      </c>
      <c r="E40" s="319"/>
      <c r="F40" s="319"/>
      <c r="G40" s="320"/>
      <c r="H40" s="52">
        <f>Directivos!$AD$1</f>
        <v>1</v>
      </c>
      <c r="I40" s="85">
        <f>Directivos!$AD$4</f>
        <v>94</v>
      </c>
      <c r="J40" s="85">
        <f>Directivos!$AD$5</f>
        <v>94</v>
      </c>
      <c r="K40" s="85">
        <f>Directivos!$AD$2</f>
        <v>94</v>
      </c>
      <c r="L40" s="86" t="b">
        <f>Directivos!$AD$3</f>
        <v>0</v>
      </c>
      <c r="M40" s="78"/>
      <c r="N40" s="44"/>
    </row>
    <row r="41" spans="1:14" ht="16.899999999999999" customHeight="1">
      <c r="A41" s="44"/>
      <c r="B41" s="47"/>
      <c r="C41" s="283"/>
      <c r="D41" s="306" t="s">
        <v>160</v>
      </c>
      <c r="E41" s="307"/>
      <c r="F41" s="307"/>
      <c r="G41" s="308"/>
      <c r="H41" s="50">
        <f>Directivos!$AE$1</f>
        <v>1</v>
      </c>
      <c r="I41" s="81">
        <f>Directivos!$AE$4</f>
        <v>94</v>
      </c>
      <c r="J41" s="81">
        <f>Directivos!$AE$5</f>
        <v>94</v>
      </c>
      <c r="K41" s="81">
        <f>Directivos!$AE$2</f>
        <v>94</v>
      </c>
      <c r="L41" s="82" t="b">
        <f>Directivos!$AE$3</f>
        <v>0</v>
      </c>
      <c r="M41" s="78"/>
      <c r="N41" s="44"/>
    </row>
    <row r="42" spans="1:14" ht="16.899999999999999" customHeight="1">
      <c r="A42" s="44"/>
      <c r="B42" s="47"/>
      <c r="C42" s="284"/>
      <c r="D42" s="296" t="s">
        <v>161</v>
      </c>
      <c r="E42" s="297"/>
      <c r="F42" s="297"/>
      <c r="G42" s="298"/>
      <c r="H42" s="53">
        <f>Directivos!$AG$1</f>
        <v>1</v>
      </c>
      <c r="I42" s="87">
        <f>Directivos!$AG$4</f>
        <v>94</v>
      </c>
      <c r="J42" s="87">
        <f>Directivos!$AG$5</f>
        <v>94</v>
      </c>
      <c r="K42" s="87">
        <f>Directivos!$AG$2</f>
        <v>94</v>
      </c>
      <c r="L42" s="88" t="b">
        <f>Directivos!$AG$3</f>
        <v>0</v>
      </c>
      <c r="M42" s="78"/>
      <c r="N42" s="44"/>
    </row>
    <row r="43" spans="1:14" ht="16.899999999999999" customHeight="1">
      <c r="A43" s="44"/>
      <c r="B43" s="47"/>
      <c r="C43" s="282" t="s">
        <v>162</v>
      </c>
      <c r="D43" s="309" t="s">
        <v>63</v>
      </c>
      <c r="E43" s="310"/>
      <c r="F43" s="310"/>
      <c r="G43" s="311"/>
      <c r="H43" s="49">
        <f>Directivos!$AM$1</f>
        <v>1</v>
      </c>
      <c r="I43" s="79">
        <f>Directivos!$AM$4</f>
        <v>93</v>
      </c>
      <c r="J43" s="79">
        <f>Directivos!$AM$5</f>
        <v>93</v>
      </c>
      <c r="K43" s="79">
        <f>Directivos!$AM$2</f>
        <v>93</v>
      </c>
      <c r="L43" s="80" t="b">
        <f>Directivos!$AM$3</f>
        <v>0</v>
      </c>
      <c r="M43" s="78"/>
      <c r="N43" s="44"/>
    </row>
    <row r="44" spans="1:14" ht="16.899999999999999" customHeight="1">
      <c r="A44" s="44"/>
      <c r="B44" s="47"/>
      <c r="C44" s="283"/>
      <c r="D44" s="312" t="s">
        <v>64</v>
      </c>
      <c r="E44" s="313"/>
      <c r="F44" s="313"/>
      <c r="G44" s="314"/>
      <c r="H44" s="54">
        <f>Directivos!$AN$1</f>
        <v>1</v>
      </c>
      <c r="I44" s="89">
        <f>Directivos!$AN$4</f>
        <v>95</v>
      </c>
      <c r="J44" s="89">
        <f>Directivos!$AN$5</f>
        <v>95</v>
      </c>
      <c r="K44" s="89">
        <f>Directivos!$AN$2</f>
        <v>95</v>
      </c>
      <c r="L44" s="90" t="b">
        <f>Directivos!$AN$3</f>
        <v>0</v>
      </c>
      <c r="M44" s="78"/>
      <c r="N44" s="44"/>
    </row>
    <row r="45" spans="1:14" ht="16.899999999999999" customHeight="1">
      <c r="A45" s="44"/>
      <c r="B45" s="47"/>
      <c r="C45" s="283"/>
      <c r="D45" s="306" t="s">
        <v>65</v>
      </c>
      <c r="E45" s="307"/>
      <c r="F45" s="307"/>
      <c r="G45" s="308"/>
      <c r="H45" s="50">
        <f>Directivos!$AO$1</f>
        <v>1</v>
      </c>
      <c r="I45" s="81">
        <f>Directivos!$AO$4</f>
        <v>93</v>
      </c>
      <c r="J45" s="81">
        <f>Directivos!$AO$5</f>
        <v>93</v>
      </c>
      <c r="K45" s="81">
        <f>Directivos!$AO$2</f>
        <v>93</v>
      </c>
      <c r="L45" s="82" t="b">
        <f>Directivos!$AO$3</f>
        <v>0</v>
      </c>
      <c r="M45" s="78"/>
      <c r="N45" s="44"/>
    </row>
    <row r="46" spans="1:14" ht="16.899999999999999" customHeight="1">
      <c r="A46" s="44"/>
      <c r="B46" s="47"/>
      <c r="C46" s="284"/>
      <c r="D46" s="296" t="s">
        <v>163</v>
      </c>
      <c r="E46" s="297"/>
      <c r="F46" s="297"/>
      <c r="G46" s="298"/>
      <c r="H46" s="53">
        <f>Directivos!$AQ$1</f>
        <v>1</v>
      </c>
      <c r="I46" s="87">
        <f>Directivos!$AQ$4</f>
        <v>93.666666666666671</v>
      </c>
      <c r="J46" s="87">
        <f>Directivos!$AQ$5</f>
        <v>93.666666666666671</v>
      </c>
      <c r="K46" s="87">
        <f>Directivos!$AQ$2</f>
        <v>93.666666666666671</v>
      </c>
      <c r="L46" s="88" t="b">
        <f>Directivos!$AQ$3</f>
        <v>0</v>
      </c>
      <c r="M46" s="78"/>
      <c r="N46" s="44"/>
    </row>
    <row r="47" spans="1:14" ht="16.899999999999999" customHeight="1">
      <c r="A47" s="44"/>
      <c r="B47" s="47"/>
      <c r="C47" s="55"/>
      <c r="D47" s="299" t="s">
        <v>164</v>
      </c>
      <c r="E47" s="299"/>
      <c r="F47" s="299"/>
      <c r="G47" s="300"/>
      <c r="H47" s="56">
        <f>Directivos!$AT$1</f>
        <v>1</v>
      </c>
      <c r="I47" s="91">
        <f>Directivos!$AT$4</f>
        <v>93.824999999999989</v>
      </c>
      <c r="J47" s="91">
        <f>Directivos!$AT$5</f>
        <v>93.824999999999989</v>
      </c>
      <c r="K47" s="91">
        <f>Directivos!$AT$2</f>
        <v>93.824999999999989</v>
      </c>
      <c r="L47" s="92" t="b">
        <f>Directivos!$AT$3</f>
        <v>0</v>
      </c>
      <c r="M47" s="78"/>
      <c r="N47" s="44"/>
    </row>
    <row r="48" spans="1:14" s="1" customFormat="1" ht="6.75" customHeight="1">
      <c r="A48" s="11"/>
      <c r="B48" s="14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67"/>
      <c r="N48" s="11"/>
    </row>
    <row r="49" spans="1:14" s="1" customFormat="1">
      <c r="A49" s="11"/>
      <c r="B49" s="14"/>
      <c r="C49" s="57" t="s">
        <v>165</v>
      </c>
      <c r="D49" s="57"/>
      <c r="E49" s="7"/>
      <c r="F49" s="7"/>
      <c r="G49" s="7"/>
      <c r="H49" s="7"/>
      <c r="I49" s="7"/>
      <c r="J49" s="7"/>
      <c r="K49" s="7"/>
      <c r="L49" s="7"/>
      <c r="M49" s="67"/>
      <c r="N49" s="11"/>
    </row>
    <row r="50" spans="1:14" s="1" customFormat="1">
      <c r="A50" s="11"/>
      <c r="B50" s="14"/>
      <c r="C50" s="57" t="s">
        <v>166</v>
      </c>
      <c r="D50" s="57"/>
      <c r="E50" s="7"/>
      <c r="F50" s="7"/>
      <c r="G50" s="7"/>
      <c r="H50" s="7"/>
      <c r="I50" s="7"/>
      <c r="J50" s="7"/>
      <c r="K50" s="7"/>
      <c r="L50" s="7"/>
      <c r="M50" s="67"/>
      <c r="N50" s="11"/>
    </row>
    <row r="51" spans="1:14" s="1" customFormat="1">
      <c r="A51" s="11"/>
      <c r="B51" s="14"/>
      <c r="C51" s="57" t="s">
        <v>167</v>
      </c>
      <c r="D51" s="57"/>
      <c r="E51" s="7"/>
      <c r="F51" s="7"/>
      <c r="G51" s="7"/>
      <c r="H51" s="7"/>
      <c r="I51" s="7"/>
      <c r="J51" s="7"/>
      <c r="K51" s="7"/>
      <c r="L51" s="7"/>
      <c r="M51" s="67"/>
      <c r="N51" s="11"/>
    </row>
    <row r="52" spans="1:14" s="1" customFormat="1">
      <c r="A52" s="11"/>
      <c r="B52" s="14"/>
      <c r="C52" s="57" t="s">
        <v>168</v>
      </c>
      <c r="D52" s="57"/>
      <c r="E52" s="7"/>
      <c r="F52" s="7"/>
      <c r="G52" s="7"/>
      <c r="H52" s="7"/>
      <c r="I52" s="7"/>
      <c r="J52" s="7"/>
      <c r="K52" s="7"/>
      <c r="L52" s="7"/>
      <c r="M52" s="67"/>
      <c r="N52" s="11"/>
    </row>
    <row r="53" spans="1:14" s="1" customFormat="1">
      <c r="A53" s="11"/>
      <c r="B53" s="14"/>
      <c r="C53" s="57" t="s">
        <v>169</v>
      </c>
      <c r="D53" s="57"/>
      <c r="E53" s="7"/>
      <c r="F53" s="7"/>
      <c r="G53" s="7"/>
      <c r="H53" s="7"/>
      <c r="I53" s="7"/>
      <c r="J53" s="7"/>
      <c r="K53" s="7"/>
      <c r="L53" s="7"/>
      <c r="M53" s="67"/>
      <c r="N53" s="11"/>
    </row>
    <row r="54" spans="1:14" s="1" customFormat="1" ht="6.75" customHeight="1">
      <c r="A54" s="58"/>
      <c r="B54" s="4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75"/>
      <c r="N54" s="58"/>
    </row>
    <row r="55" spans="1:14" s="1" customFormat="1" ht="9" customHeight="1">
      <c r="A55" s="39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74"/>
    </row>
    <row r="56" spans="1:14" ht="9" customHeight="1">
      <c r="A56" s="44"/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93"/>
      <c r="N56" s="44"/>
    </row>
    <row r="57" spans="1:14">
      <c r="A57" s="44"/>
      <c r="B57" s="45"/>
      <c r="C57" s="301" t="s">
        <v>170</v>
      </c>
      <c r="D57" s="301"/>
      <c r="E57" s="301"/>
      <c r="F57" s="301"/>
      <c r="G57" s="301"/>
      <c r="H57" s="301"/>
      <c r="I57" s="301"/>
      <c r="J57" s="301"/>
      <c r="K57" s="301"/>
      <c r="L57" s="301"/>
      <c r="M57" s="76"/>
      <c r="N57" s="44"/>
    </row>
    <row r="58" spans="1:14" ht="9" customHeight="1">
      <c r="A58" s="44"/>
      <c r="B58" s="45"/>
      <c r="C58" s="7"/>
      <c r="D58" s="7"/>
      <c r="E58" s="7"/>
      <c r="F58" s="7"/>
      <c r="G58" s="7"/>
      <c r="H58" s="7"/>
      <c r="I58" s="7"/>
      <c r="J58" s="7"/>
      <c r="K58" s="7"/>
      <c r="L58" s="7"/>
      <c r="M58" s="76"/>
      <c r="N58" s="44"/>
    </row>
    <row r="59" spans="1:14">
      <c r="A59" s="44"/>
      <c r="B59" s="45"/>
      <c r="C59" s="6"/>
      <c r="D59" s="6"/>
      <c r="E59" s="6"/>
      <c r="F59" s="7"/>
      <c r="G59" s="7"/>
      <c r="H59" s="7"/>
      <c r="I59" s="7"/>
      <c r="J59" s="7"/>
      <c r="K59" s="7"/>
      <c r="L59" s="7"/>
      <c r="M59" s="76"/>
      <c r="N59" s="44"/>
    </row>
    <row r="60" spans="1:14">
      <c r="A60" s="44"/>
      <c r="B60" s="45"/>
      <c r="C60" s="6"/>
      <c r="D60" s="6"/>
      <c r="E60" s="6"/>
      <c r="F60" s="6"/>
      <c r="G60" s="6"/>
      <c r="H60" s="7"/>
      <c r="I60" s="7"/>
      <c r="J60" s="7"/>
      <c r="K60" s="7"/>
      <c r="L60" s="7"/>
      <c r="M60" s="76"/>
      <c r="N60" s="44"/>
    </row>
    <row r="61" spans="1:14">
      <c r="A61" s="44"/>
      <c r="B61" s="45"/>
      <c r="C61" s="6"/>
      <c r="D61" s="6"/>
      <c r="E61" s="6"/>
      <c r="F61" s="6"/>
      <c r="G61" s="6"/>
      <c r="H61" s="7"/>
      <c r="I61" s="7"/>
      <c r="J61" s="7"/>
      <c r="K61" s="7"/>
      <c r="L61" s="7"/>
      <c r="M61" s="76"/>
      <c r="N61" s="44"/>
    </row>
    <row r="62" spans="1:14">
      <c r="A62" s="44"/>
      <c r="B62" s="45"/>
      <c r="C62" s="6"/>
      <c r="D62" s="6"/>
      <c r="E62" s="6"/>
      <c r="F62" s="6"/>
      <c r="G62" s="6"/>
      <c r="H62" s="7"/>
      <c r="I62" s="7"/>
      <c r="J62" s="7"/>
      <c r="K62" s="7"/>
      <c r="L62" s="7"/>
      <c r="M62" s="76"/>
      <c r="N62" s="44"/>
    </row>
    <row r="63" spans="1:14">
      <c r="A63" s="44"/>
      <c r="B63" s="45"/>
      <c r="C63" s="6"/>
      <c r="D63" s="6"/>
      <c r="E63" s="6"/>
      <c r="F63" s="6"/>
      <c r="G63" s="6"/>
      <c r="H63" s="7"/>
      <c r="I63" s="7"/>
      <c r="J63" s="7"/>
      <c r="K63" s="7"/>
      <c r="L63" s="7"/>
      <c r="M63" s="76"/>
      <c r="N63" s="44"/>
    </row>
    <row r="64" spans="1:14">
      <c r="A64" s="44"/>
      <c r="B64" s="45"/>
      <c r="C64" s="7"/>
      <c r="D64" s="7"/>
      <c r="E64" s="7"/>
      <c r="F64" s="7"/>
      <c r="G64" s="7"/>
      <c r="H64" s="7"/>
      <c r="I64" s="7"/>
      <c r="J64" s="7"/>
      <c r="K64" s="7"/>
      <c r="L64" s="7"/>
      <c r="M64" s="76"/>
      <c r="N64" s="44"/>
    </row>
    <row r="65" spans="1:14">
      <c r="A65" s="44"/>
      <c r="B65" s="45"/>
      <c r="C65" s="7"/>
      <c r="D65" s="7"/>
      <c r="E65" s="7"/>
      <c r="F65" s="7"/>
      <c r="G65" s="7"/>
      <c r="H65" s="7"/>
      <c r="I65" s="7"/>
      <c r="J65" s="7"/>
      <c r="K65" s="7"/>
      <c r="L65" s="7"/>
      <c r="M65" s="76"/>
      <c r="N65" s="44"/>
    </row>
    <row r="66" spans="1:14">
      <c r="A66" s="44"/>
      <c r="B66" s="45"/>
      <c r="C66" s="6"/>
      <c r="D66" s="6"/>
      <c r="E66" s="6"/>
      <c r="F66" s="6"/>
      <c r="G66" s="6"/>
      <c r="H66" s="7"/>
      <c r="I66" s="7"/>
      <c r="J66" s="7"/>
      <c r="K66" s="7"/>
      <c r="L66" s="7"/>
      <c r="M66" s="76"/>
      <c r="N66" s="44"/>
    </row>
    <row r="67" spans="1:14">
      <c r="A67" s="44"/>
      <c r="B67" s="45"/>
      <c r="C67" s="6"/>
      <c r="D67" s="6"/>
      <c r="E67" s="6"/>
      <c r="F67" s="6"/>
      <c r="G67" s="6"/>
      <c r="H67" s="7"/>
      <c r="I67" s="7"/>
      <c r="J67" s="7"/>
      <c r="K67" s="7"/>
      <c r="L67" s="7"/>
      <c r="M67" s="76"/>
      <c r="N67" s="44"/>
    </row>
    <row r="68" spans="1:14">
      <c r="A68" s="44"/>
      <c r="B68" s="45"/>
      <c r="C68" s="6"/>
      <c r="D68" s="6"/>
      <c r="E68" s="6"/>
      <c r="F68" s="6"/>
      <c r="G68" s="6"/>
      <c r="H68" s="7"/>
      <c r="I68" s="7"/>
      <c r="J68" s="7"/>
      <c r="K68" s="7"/>
      <c r="L68" s="7"/>
      <c r="M68" s="76"/>
      <c r="N68" s="44"/>
    </row>
    <row r="69" spans="1:14">
      <c r="A69" s="44"/>
      <c r="B69" s="45"/>
      <c r="C69" s="6"/>
      <c r="D69" s="6"/>
      <c r="E69" s="6"/>
      <c r="F69" s="6"/>
      <c r="G69" s="6"/>
      <c r="H69" s="7"/>
      <c r="I69" s="7"/>
      <c r="J69" s="7"/>
      <c r="K69" s="7"/>
      <c r="L69" s="7"/>
      <c r="M69" s="76"/>
      <c r="N69" s="44"/>
    </row>
    <row r="70" spans="1:14">
      <c r="A70" s="44"/>
      <c r="B70" s="45"/>
      <c r="C70" s="6"/>
      <c r="D70" s="6"/>
      <c r="E70" s="6"/>
      <c r="F70" s="6"/>
      <c r="G70" s="6"/>
      <c r="H70" s="7"/>
      <c r="I70" s="7"/>
      <c r="J70" s="7"/>
      <c r="K70" s="7"/>
      <c r="L70" s="7"/>
      <c r="M70" s="76"/>
      <c r="N70" s="44"/>
    </row>
    <row r="71" spans="1:14">
      <c r="A71" s="44"/>
      <c r="B71" s="45"/>
      <c r="C71" s="7"/>
      <c r="D71" s="7"/>
      <c r="E71" s="7"/>
      <c r="F71" s="7"/>
      <c r="G71" s="7"/>
      <c r="H71" s="7"/>
      <c r="I71" s="7"/>
      <c r="J71" s="7"/>
      <c r="K71" s="7"/>
      <c r="L71" s="7"/>
      <c r="M71" s="76"/>
      <c r="N71" s="44"/>
    </row>
    <row r="72" spans="1:14">
      <c r="A72" s="44"/>
      <c r="B72" s="45"/>
      <c r="C72" s="7"/>
      <c r="D72" s="7"/>
      <c r="E72" s="7"/>
      <c r="F72" s="7"/>
      <c r="G72" s="7"/>
      <c r="H72" s="7"/>
      <c r="I72" s="7"/>
      <c r="J72" s="7"/>
      <c r="K72" s="7"/>
      <c r="L72" s="7"/>
      <c r="M72" s="76"/>
      <c r="N72" s="44"/>
    </row>
    <row r="73" spans="1:14">
      <c r="A73" s="44"/>
      <c r="B73" s="45"/>
      <c r="C73" s="7"/>
      <c r="D73" s="7"/>
      <c r="E73" s="7"/>
      <c r="F73" s="7"/>
      <c r="G73" s="7"/>
      <c r="H73" s="7"/>
      <c r="I73" s="7"/>
      <c r="J73" s="7"/>
      <c r="K73" s="7"/>
      <c r="L73" s="7"/>
      <c r="M73" s="76"/>
      <c r="N73" s="44"/>
    </row>
    <row r="74" spans="1:14">
      <c r="A74" s="44"/>
      <c r="B74" s="45"/>
      <c r="C74" s="7"/>
      <c r="D74" s="7"/>
      <c r="E74" s="7"/>
      <c r="F74" s="7"/>
      <c r="G74" s="7"/>
      <c r="H74" s="7"/>
      <c r="I74" s="7"/>
      <c r="J74" s="7"/>
      <c r="K74" s="7"/>
      <c r="L74" s="7"/>
      <c r="M74" s="76"/>
      <c r="N74" s="44"/>
    </row>
    <row r="75" spans="1:14">
      <c r="A75" s="44"/>
      <c r="B75" s="45"/>
      <c r="C75" s="7"/>
      <c r="D75" s="7"/>
      <c r="E75" s="7"/>
      <c r="F75" s="7"/>
      <c r="G75" s="7"/>
      <c r="H75" s="7"/>
      <c r="I75" s="7"/>
      <c r="J75" s="7"/>
      <c r="K75" s="7"/>
      <c r="L75" s="7"/>
      <c r="M75" s="76"/>
      <c r="N75" s="44"/>
    </row>
    <row r="76" spans="1:14">
      <c r="A76" s="44"/>
      <c r="B76" s="45"/>
      <c r="C76" s="7"/>
      <c r="D76" s="7"/>
      <c r="E76" s="7"/>
      <c r="F76" s="7"/>
      <c r="G76" s="7"/>
      <c r="H76" s="7"/>
      <c r="I76" s="7"/>
      <c r="J76" s="7"/>
      <c r="K76" s="7"/>
      <c r="L76" s="7"/>
      <c r="M76" s="76"/>
      <c r="N76" s="44"/>
    </row>
    <row r="77" spans="1:14">
      <c r="A77" s="44"/>
      <c r="B77" s="45"/>
      <c r="C77" s="7"/>
      <c r="D77" s="7"/>
      <c r="E77" s="7"/>
      <c r="F77" s="7"/>
      <c r="G77" s="7"/>
      <c r="H77" s="7"/>
      <c r="I77" s="7"/>
      <c r="J77" s="7"/>
      <c r="K77" s="7"/>
      <c r="L77" s="7"/>
      <c r="M77" s="76"/>
      <c r="N77" s="44"/>
    </row>
    <row r="78" spans="1:14">
      <c r="A78" s="44"/>
      <c r="B78" s="45"/>
      <c r="C78" s="6"/>
      <c r="D78" s="6"/>
      <c r="E78" s="6"/>
      <c r="F78" s="6"/>
      <c r="G78" s="6"/>
      <c r="H78" s="7"/>
      <c r="I78" s="7"/>
      <c r="J78" s="7"/>
      <c r="K78" s="7"/>
      <c r="L78" s="7"/>
      <c r="M78" s="76"/>
      <c r="N78" s="44"/>
    </row>
    <row r="79" spans="1:14">
      <c r="A79" s="44"/>
      <c r="B79" s="45"/>
      <c r="C79" s="6"/>
      <c r="D79" s="6"/>
      <c r="E79" s="6"/>
      <c r="F79" s="6"/>
      <c r="G79" s="6"/>
      <c r="H79" s="6"/>
      <c r="I79" s="6"/>
      <c r="J79" s="6"/>
      <c r="K79" s="6"/>
      <c r="L79" s="6"/>
      <c r="M79" s="76"/>
      <c r="N79" s="44"/>
    </row>
    <row r="80" spans="1:14">
      <c r="A80" s="44"/>
      <c r="B80" s="45"/>
      <c r="C80" s="6"/>
      <c r="D80" s="6"/>
      <c r="E80" s="6"/>
      <c r="F80" s="6"/>
      <c r="G80" s="6"/>
      <c r="H80" s="6"/>
      <c r="I80" s="6"/>
      <c r="J80" s="6"/>
      <c r="K80" s="6"/>
      <c r="L80" s="6"/>
      <c r="M80" s="76"/>
      <c r="N80" s="44"/>
    </row>
    <row r="81" spans="1:14">
      <c r="A81" s="44"/>
      <c r="B81" s="45"/>
      <c r="C81" s="6"/>
      <c r="D81" s="6"/>
      <c r="E81" s="6"/>
      <c r="F81" s="6"/>
      <c r="G81" s="6"/>
      <c r="H81" s="6"/>
      <c r="I81" s="6"/>
      <c r="J81" s="6"/>
      <c r="K81" s="6"/>
      <c r="L81" s="6"/>
      <c r="M81" s="76"/>
      <c r="N81" s="44"/>
    </row>
    <row r="82" spans="1:14" ht="12.75" customHeight="1">
      <c r="A82" s="44"/>
      <c r="B82" s="94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112"/>
      <c r="N82" s="44"/>
    </row>
    <row r="83" spans="1:14" ht="12.75" customHeight="1">
      <c r="A83" s="44"/>
      <c r="B83" s="61"/>
      <c r="C83" s="95"/>
      <c r="D83" s="95"/>
      <c r="E83" s="95"/>
      <c r="F83" s="95"/>
      <c r="G83" s="96"/>
      <c r="H83" s="61"/>
      <c r="I83" s="95"/>
      <c r="J83" s="95"/>
      <c r="K83" s="95"/>
      <c r="L83" s="95"/>
      <c r="M83" s="93"/>
      <c r="N83" s="44"/>
    </row>
    <row r="84" spans="1:14" ht="15" customHeight="1">
      <c r="A84" s="44"/>
      <c r="B84" s="47"/>
      <c r="C84" s="302" t="s">
        <v>171</v>
      </c>
      <c r="D84" s="303"/>
      <c r="E84" s="303"/>
      <c r="F84" s="304"/>
      <c r="G84" s="44"/>
      <c r="H84" s="47"/>
      <c r="I84" s="305" t="s">
        <v>172</v>
      </c>
      <c r="J84" s="305"/>
      <c r="K84" s="305"/>
      <c r="L84" s="305"/>
      <c r="M84" s="78"/>
      <c r="N84" s="44"/>
    </row>
    <row r="85" spans="1:14" ht="15" customHeight="1">
      <c r="A85" s="44"/>
      <c r="B85" s="47"/>
      <c r="C85" s="289" t="s">
        <v>173</v>
      </c>
      <c r="D85" s="290"/>
      <c r="E85" s="26" t="s">
        <v>24</v>
      </c>
      <c r="F85" s="27" t="s">
        <v>134</v>
      </c>
      <c r="G85" s="44"/>
      <c r="H85" s="47"/>
      <c r="I85" s="290" t="s">
        <v>174</v>
      </c>
      <c r="J85" s="288"/>
      <c r="K85" s="103" t="s">
        <v>175</v>
      </c>
      <c r="L85" s="113" t="s">
        <v>134</v>
      </c>
      <c r="M85" s="78"/>
      <c r="N85" s="44"/>
    </row>
    <row r="86" spans="1:14" ht="15" customHeight="1">
      <c r="A86" s="44"/>
      <c r="B86" s="47"/>
      <c r="C86" s="291" t="s">
        <v>176</v>
      </c>
      <c r="D86" s="292"/>
      <c r="E86" s="97">
        <f>Directivos!AU1</f>
        <v>0</v>
      </c>
      <c r="F86" s="98">
        <f>(E86*100)/H47</f>
        <v>0</v>
      </c>
      <c r="G86" s="44"/>
      <c r="H86" s="47"/>
      <c r="I86" s="293" t="s">
        <v>77</v>
      </c>
      <c r="J86" s="294"/>
      <c r="K86" s="114">
        <f>Directivos!AI1</f>
        <v>0</v>
      </c>
      <c r="L86" s="115">
        <f t="shared" ref="L86:L92" si="0">($K86*100)/$K$93</f>
        <v>0</v>
      </c>
      <c r="M86" s="78"/>
      <c r="N86" s="44"/>
    </row>
    <row r="87" spans="1:14" ht="15" customHeight="1">
      <c r="A87" s="44"/>
      <c r="B87" s="47"/>
      <c r="C87" s="295" t="s">
        <v>177</v>
      </c>
      <c r="D87" s="276"/>
      <c r="E87" s="99">
        <f>Directivos!AU2</f>
        <v>0</v>
      </c>
      <c r="F87" s="100">
        <f>(E87*100)/H47</f>
        <v>0</v>
      </c>
      <c r="G87" s="44"/>
      <c r="H87" s="47"/>
      <c r="I87" s="276" t="s">
        <v>89</v>
      </c>
      <c r="J87" s="277"/>
      <c r="K87" s="116">
        <f>Directivos!AI2</f>
        <v>1</v>
      </c>
      <c r="L87" s="117">
        <f t="shared" si="0"/>
        <v>33.333333333333336</v>
      </c>
      <c r="M87" s="78"/>
      <c r="N87" s="44"/>
    </row>
    <row r="88" spans="1:14" ht="15" customHeight="1">
      <c r="A88" s="44"/>
      <c r="B88" s="47"/>
      <c r="C88" s="285" t="s">
        <v>178</v>
      </c>
      <c r="D88" s="286"/>
      <c r="E88" s="101">
        <f>Directivos!AU3</f>
        <v>1</v>
      </c>
      <c r="F88" s="102">
        <f>(E88*100)/H47</f>
        <v>100</v>
      </c>
      <c r="G88" s="44"/>
      <c r="H88" s="47"/>
      <c r="I88" s="276" t="s">
        <v>84</v>
      </c>
      <c r="J88" s="277"/>
      <c r="K88" s="116">
        <f>Directivos!AI3</f>
        <v>0</v>
      </c>
      <c r="L88" s="117">
        <f t="shared" si="0"/>
        <v>0</v>
      </c>
      <c r="M88" s="78"/>
      <c r="N88" s="44"/>
    </row>
    <row r="89" spans="1:14" ht="15" customHeight="1">
      <c r="A89" s="44"/>
      <c r="B89" s="45"/>
      <c r="C89" s="287" t="s">
        <v>138</v>
      </c>
      <c r="D89" s="288"/>
      <c r="E89" s="103">
        <f>SUM(E86:E88)</f>
        <v>1</v>
      </c>
      <c r="F89" s="104">
        <f>SUM(F86:F88)</f>
        <v>100</v>
      </c>
      <c r="G89" s="105"/>
      <c r="H89" s="47"/>
      <c r="I89" s="276" t="s">
        <v>93</v>
      </c>
      <c r="J89" s="277"/>
      <c r="K89" s="116">
        <f>Directivos!AI4</f>
        <v>0</v>
      </c>
      <c r="L89" s="117">
        <f t="shared" si="0"/>
        <v>0</v>
      </c>
      <c r="M89" s="78"/>
      <c r="N89" s="44"/>
    </row>
    <row r="90" spans="1:14" ht="15" customHeight="1">
      <c r="A90" s="44"/>
      <c r="B90" s="47"/>
      <c r="C90" s="62"/>
      <c r="D90" s="106"/>
      <c r="E90" s="106"/>
      <c r="F90" s="106"/>
      <c r="G90" s="44"/>
      <c r="H90" s="47"/>
      <c r="I90" s="276" t="s">
        <v>85</v>
      </c>
      <c r="J90" s="277"/>
      <c r="K90" s="116">
        <f>Directivos!AI5</f>
        <v>1</v>
      </c>
      <c r="L90" s="117">
        <f t="shared" si="0"/>
        <v>33.333333333333336</v>
      </c>
      <c r="M90" s="78"/>
      <c r="N90" s="44"/>
    </row>
    <row r="91" spans="1:14" ht="15" customHeight="1">
      <c r="A91" s="44"/>
      <c r="B91" s="47"/>
      <c r="C91" s="107"/>
      <c r="D91" s="107"/>
      <c r="E91" s="107"/>
      <c r="F91" s="107"/>
      <c r="G91" s="44"/>
      <c r="H91" s="47"/>
      <c r="I91" s="276" t="s">
        <v>86</v>
      </c>
      <c r="J91" s="277"/>
      <c r="K91" s="116">
        <f>Directivos!AI6</f>
        <v>1</v>
      </c>
      <c r="L91" s="117">
        <f t="shared" si="0"/>
        <v>33.333333333333336</v>
      </c>
      <c r="M91" s="78"/>
      <c r="N91" s="44"/>
    </row>
    <row r="92" spans="1:14" ht="15" customHeight="1">
      <c r="A92" s="44"/>
      <c r="B92" s="47"/>
      <c r="C92" s="107"/>
      <c r="D92" s="107"/>
      <c r="E92" s="107"/>
      <c r="F92" s="107"/>
      <c r="G92" s="44"/>
      <c r="H92" s="47"/>
      <c r="I92" s="278" t="s">
        <v>101</v>
      </c>
      <c r="J92" s="279"/>
      <c r="K92" s="118">
        <f>Directivos!AI7</f>
        <v>0</v>
      </c>
      <c r="L92" s="119">
        <f t="shared" si="0"/>
        <v>0</v>
      </c>
      <c r="M92" s="78"/>
      <c r="N92" s="44"/>
    </row>
    <row r="93" spans="1:14" ht="15" customHeight="1">
      <c r="A93" s="44"/>
      <c r="B93" s="47"/>
      <c r="C93" s="107"/>
      <c r="D93" s="107"/>
      <c r="E93" s="107"/>
      <c r="F93" s="107"/>
      <c r="G93" s="108"/>
      <c r="H93" s="47"/>
      <c r="I93" s="280" t="s">
        <v>138</v>
      </c>
      <c r="J93" s="281"/>
      <c r="K93" s="120">
        <f>SUM(K86:K92)</f>
        <v>3</v>
      </c>
      <c r="L93" s="121">
        <f>SUM(L86:L92)</f>
        <v>100</v>
      </c>
      <c r="M93" s="78"/>
      <c r="N93" s="44"/>
    </row>
    <row r="94" spans="1:14" ht="32.65" customHeight="1">
      <c r="A94" s="44"/>
      <c r="B94" s="47"/>
      <c r="C94" s="107"/>
      <c r="D94" s="107"/>
      <c r="E94" s="107"/>
      <c r="F94" s="107"/>
      <c r="G94" s="44"/>
      <c r="H94" s="45"/>
      <c r="I94" s="4"/>
      <c r="J94" s="4"/>
      <c r="K94" s="4"/>
      <c r="L94" s="4"/>
      <c r="M94" s="76"/>
      <c r="N94" s="44"/>
    </row>
    <row r="95" spans="1:14" ht="32.65" customHeight="1">
      <c r="A95" s="44"/>
      <c r="B95" s="47"/>
      <c r="C95" s="107"/>
      <c r="D95" s="107"/>
      <c r="E95" s="107"/>
      <c r="F95" s="107"/>
      <c r="G95" s="44"/>
      <c r="H95" s="45"/>
      <c r="I95" s="6"/>
      <c r="J95" s="6"/>
      <c r="K95" s="6"/>
      <c r="L95" s="6"/>
      <c r="M95" s="76"/>
      <c r="N95" s="44"/>
    </row>
    <row r="96" spans="1:14" ht="32.65" customHeight="1">
      <c r="A96" s="44"/>
      <c r="B96" s="47"/>
      <c r="C96" s="107"/>
      <c r="D96" s="107"/>
      <c r="E96" s="107"/>
      <c r="F96" s="107"/>
      <c r="G96" s="44"/>
      <c r="H96" s="45"/>
      <c r="I96" s="6"/>
      <c r="J96" s="6"/>
      <c r="K96" s="6"/>
      <c r="L96" s="6"/>
      <c r="M96" s="76"/>
      <c r="N96" s="44"/>
    </row>
    <row r="97" spans="1:14" ht="32.65" customHeight="1">
      <c r="A97" s="44"/>
      <c r="B97" s="47"/>
      <c r="C97" s="107"/>
      <c r="D97" s="107"/>
      <c r="E97" s="107"/>
      <c r="F97" s="107"/>
      <c r="G97" s="44"/>
      <c r="H97" s="45"/>
      <c r="I97" s="6"/>
      <c r="J97" s="6"/>
      <c r="K97" s="6"/>
      <c r="L97" s="6"/>
      <c r="M97" s="76"/>
      <c r="N97" s="44"/>
    </row>
    <row r="98" spans="1:14" ht="32.65" customHeight="1">
      <c r="A98" s="44"/>
      <c r="B98" s="47"/>
      <c r="C98" s="107"/>
      <c r="D98" s="107"/>
      <c r="E98" s="107"/>
      <c r="F98" s="107"/>
      <c r="G98" s="44"/>
      <c r="H98" s="45"/>
      <c r="I98" s="6"/>
      <c r="J98" s="6"/>
      <c r="K98" s="6"/>
      <c r="L98" s="6"/>
      <c r="M98" s="76"/>
      <c r="N98" s="44"/>
    </row>
    <row r="99" spans="1:14" ht="32.65" customHeight="1">
      <c r="A99" s="44"/>
      <c r="B99" s="109"/>
      <c r="C99" s="110"/>
      <c r="D99" s="110"/>
      <c r="E99" s="110"/>
      <c r="F99" s="110"/>
      <c r="G99" s="111"/>
      <c r="H99" s="109"/>
      <c r="I99" s="110"/>
      <c r="J99" s="110"/>
      <c r="K99" s="110"/>
      <c r="L99" s="110"/>
      <c r="M99" s="122"/>
      <c r="N99" s="44"/>
    </row>
  </sheetData>
  <sheetProtection password="9AB5" sheet="1" objects="1" scenarios="1"/>
  <mergeCells count="49">
    <mergeCell ref="E1:L1"/>
    <mergeCell ref="E2:L2"/>
    <mergeCell ref="E3:L3"/>
    <mergeCell ref="E4:L4"/>
    <mergeCell ref="C9:L9"/>
    <mergeCell ref="C1:D4"/>
    <mergeCell ref="E14:G14"/>
    <mergeCell ref="I14:K14"/>
    <mergeCell ref="I19:J19"/>
    <mergeCell ref="C26:L26"/>
    <mergeCell ref="C27:L27"/>
    <mergeCell ref="C28:L28"/>
    <mergeCell ref="C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C86:D86"/>
    <mergeCell ref="I86:J86"/>
    <mergeCell ref="D44:G44"/>
    <mergeCell ref="D45:G45"/>
    <mergeCell ref="D46:G46"/>
    <mergeCell ref="D47:G47"/>
    <mergeCell ref="C57:L57"/>
    <mergeCell ref="I90:J90"/>
    <mergeCell ref="I91:J91"/>
    <mergeCell ref="I92:J92"/>
    <mergeCell ref="I93:J93"/>
    <mergeCell ref="C31:C42"/>
    <mergeCell ref="C43:C46"/>
    <mergeCell ref="C87:D87"/>
    <mergeCell ref="I87:J87"/>
    <mergeCell ref="C88:D88"/>
    <mergeCell ref="I88:J88"/>
    <mergeCell ref="C89:D89"/>
    <mergeCell ref="I89:J89"/>
    <mergeCell ref="C84:F84"/>
    <mergeCell ref="I84:L84"/>
    <mergeCell ref="C85:D85"/>
    <mergeCell ref="I85:J85"/>
  </mergeCells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" right="0.196850393700787" top="0.39370078740157499" bottom="0.78740157480314998" header="0" footer="0.59055118110236204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K93 L86:L93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3" master="" otherUserPermission="visible"/>
  <rangeList sheetStid="9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Administrator</cp:lastModifiedBy>
  <cp:lastPrinted>2022-08-18T02:45:00Z</cp:lastPrinted>
  <dcterms:created xsi:type="dcterms:W3CDTF">2008-01-23T15:29:00Z</dcterms:created>
  <dcterms:modified xsi:type="dcterms:W3CDTF">2026-02-12T13:51:39Z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7235068B7086480DBFD883F7EE3FAF83_13</vt:lpwstr>
  </property>
  <property fmtid="{D5CDD505-2E9C-101B-9397-08002B2CF9AE}" pid="3" name="KSOProductBuildVer">
    <vt:lpwstr>2058-12.2.0.18911</vt:lpwstr>
  </property>
</Properties>
</file>